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Anouar 2019\Hassoune Conseil\9-Dossiers en cours\WARA\6-Missions analytiques\BHS\2021\"/>
    </mc:Choice>
  </mc:AlternateContent>
  <xr:revisionPtr revIDLastSave="0" documentId="13_ncr:1_{2D1AFA4A-DB29-40DA-9659-46D34D9B9D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ynthèse états financiers" sheetId="1" r:id="rId1"/>
  </sheets>
  <definedNames>
    <definedName name="crossborder" localSheetId="0">'Synthèse états financiers'!#REF!</definedName>
    <definedName name="crossborder">'Synthèse états financiers'!#REF!</definedName>
    <definedName name="global" localSheetId="0">'Synthèse états financiers'!#REF!</definedName>
    <definedName name="global">'Synthèse états financiers'!#REF!</definedName>
    <definedName name="inside" localSheetId="0">'Synthèse états financiers'!$A$1:$O$201</definedName>
    <definedName name="inside">'Synthèse états financiers'!$A$1:$O$201</definedName>
    <definedName name="moodynum" localSheetId="0">'Synthèse états financiers'!#REF!</definedName>
    <definedName name="moodynum">'Synthèse états financiers'!#REF!</definedName>
    <definedName name="stats_1" localSheetId="0">'Synthèse états financiers'!#REF!</definedName>
    <definedName name="stats_1">'Synthèse états financiers'!#REF!</definedName>
    <definedName name="stats_2" localSheetId="0">'Synthèse états financiers'!#REF!</definedName>
    <definedName name="stats_2">'Synthèse états financiers'!#REF!</definedName>
    <definedName name="stats_5" localSheetId="0">'Synthèse états financiers'!#REF!</definedName>
    <definedName name="_xlnm.Print_Area" localSheetId="0">'Synthèse états financiers'!$A$1:$N$200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1" l="1"/>
  <c r="J47" i="1"/>
  <c r="J44" i="1"/>
  <c r="J43" i="1"/>
  <c r="J42" i="1"/>
  <c r="J37" i="1"/>
  <c r="J34" i="1"/>
  <c r="J25" i="1"/>
  <c r="J21" i="1"/>
  <c r="J20" i="1"/>
  <c r="J18" i="1"/>
  <c r="J13" i="1"/>
  <c r="J12" i="1"/>
  <c r="J11" i="1"/>
  <c r="J7" i="1"/>
  <c r="J6" i="1"/>
  <c r="J5" i="1"/>
  <c r="J48" i="1"/>
  <c r="J39" i="1"/>
  <c r="J36" i="1"/>
  <c r="J38" i="1"/>
  <c r="J26" i="1"/>
  <c r="J14" i="1"/>
  <c r="J33" i="1" l="1"/>
  <c r="J191" i="1"/>
  <c r="J27" i="1"/>
  <c r="J40" i="1"/>
  <c r="J45" i="1"/>
  <c r="J35" i="1"/>
  <c r="J22" i="1"/>
  <c r="J41" i="1" l="1"/>
  <c r="J167" i="1" s="1"/>
  <c r="J28" i="1"/>
  <c r="J46" i="1" l="1"/>
  <c r="J15" i="1"/>
  <c r="J114" i="1" s="1"/>
  <c r="K18" i="1"/>
  <c r="K22" i="1" s="1"/>
  <c r="K19" i="1"/>
  <c r="K20" i="1"/>
  <c r="K21" i="1"/>
  <c r="K23" i="1"/>
  <c r="K24" i="1"/>
  <c r="K25" i="1"/>
  <c r="K26" i="1"/>
  <c r="K6" i="1"/>
  <c r="J166" i="1" s="1"/>
  <c r="K9" i="1"/>
  <c r="K11" i="1" s="1"/>
  <c r="K10" i="1"/>
  <c r="K5" i="1"/>
  <c r="K7" i="1"/>
  <c r="K12" i="1"/>
  <c r="K13" i="1"/>
  <c r="K14" i="1"/>
  <c r="L18" i="1"/>
  <c r="L22" i="1" s="1"/>
  <c r="L19" i="1"/>
  <c r="L20" i="1"/>
  <c r="L21" i="1"/>
  <c r="L23" i="1"/>
  <c r="L24" i="1"/>
  <c r="L25" i="1"/>
  <c r="K78" i="1" s="1"/>
  <c r="L26" i="1"/>
  <c r="L6" i="1"/>
  <c r="L9" i="1"/>
  <c r="L10" i="1"/>
  <c r="L5" i="1"/>
  <c r="L7" i="1"/>
  <c r="L12" i="1"/>
  <c r="L13" i="1"/>
  <c r="L14" i="1"/>
  <c r="M18" i="1"/>
  <c r="M22" i="1" s="1"/>
  <c r="M19" i="1"/>
  <c r="L72" i="1" s="1"/>
  <c r="M20" i="1"/>
  <c r="M21" i="1"/>
  <c r="M23" i="1"/>
  <c r="M24" i="1"/>
  <c r="M25" i="1"/>
  <c r="M26" i="1"/>
  <c r="M6" i="1"/>
  <c r="M9" i="1"/>
  <c r="M11" i="1" s="1"/>
  <c r="M174" i="1" s="1"/>
  <c r="M10" i="1"/>
  <c r="M5" i="1"/>
  <c r="M7" i="1"/>
  <c r="M12" i="1"/>
  <c r="M13" i="1"/>
  <c r="M14" i="1"/>
  <c r="N18" i="1"/>
  <c r="N22" i="1" s="1"/>
  <c r="N19" i="1"/>
  <c r="N20" i="1"/>
  <c r="N21" i="1"/>
  <c r="N23" i="1"/>
  <c r="N24" i="1"/>
  <c r="N25" i="1"/>
  <c r="N26" i="1"/>
  <c r="N6" i="1"/>
  <c r="N9" i="1"/>
  <c r="N11" i="1" s="1"/>
  <c r="N174" i="1" s="1"/>
  <c r="N10" i="1"/>
  <c r="N5" i="1"/>
  <c r="N7" i="1"/>
  <c r="N12" i="1"/>
  <c r="N13" i="1"/>
  <c r="N14" i="1"/>
  <c r="O23" i="1"/>
  <c r="O24" i="1"/>
  <c r="O25" i="1"/>
  <c r="O10" i="1"/>
  <c r="O13" i="1"/>
  <c r="O14" i="1"/>
  <c r="O7" i="1"/>
  <c r="O12" i="1"/>
  <c r="P18" i="1"/>
  <c r="P19" i="1"/>
  <c r="P20" i="1"/>
  <c r="P21" i="1"/>
  <c r="P23" i="1"/>
  <c r="P24" i="1"/>
  <c r="P25" i="1"/>
  <c r="P26" i="1"/>
  <c r="P6" i="1"/>
  <c r="P9" i="1"/>
  <c r="P11" i="1" s="1"/>
  <c r="P174" i="1" s="1"/>
  <c r="P10" i="1"/>
  <c r="P5" i="1"/>
  <c r="P7" i="1"/>
  <c r="P12" i="1"/>
  <c r="P13" i="1"/>
  <c r="P14" i="1"/>
  <c r="Q18" i="1"/>
  <c r="Q177" i="1" s="1"/>
  <c r="Q19" i="1"/>
  <c r="Q20" i="1"/>
  <c r="Q21" i="1"/>
  <c r="Q23" i="1"/>
  <c r="Q24" i="1"/>
  <c r="Q25" i="1"/>
  <c r="Q26" i="1"/>
  <c r="Q6" i="1"/>
  <c r="Q9" i="1"/>
  <c r="Q11" i="1" s="1"/>
  <c r="Q174" i="1" s="1"/>
  <c r="Q10" i="1"/>
  <c r="Q5" i="1"/>
  <c r="Q7" i="1"/>
  <c r="Q12" i="1"/>
  <c r="Q13" i="1"/>
  <c r="Q14" i="1"/>
  <c r="K33" i="1"/>
  <c r="K34" i="1"/>
  <c r="K36" i="1"/>
  <c r="K37" i="1"/>
  <c r="K38" i="1"/>
  <c r="K39" i="1"/>
  <c r="K42" i="1"/>
  <c r="K43" i="1"/>
  <c r="K44" i="1"/>
  <c r="K47" i="1"/>
  <c r="K48" i="1"/>
  <c r="K50" i="1"/>
  <c r="L33" i="1"/>
  <c r="L34" i="1"/>
  <c r="L36" i="1"/>
  <c r="L40" i="1" s="1"/>
  <c r="L37" i="1"/>
  <c r="L38" i="1"/>
  <c r="L39" i="1"/>
  <c r="L42" i="1"/>
  <c r="L43" i="1"/>
  <c r="L44" i="1"/>
  <c r="L47" i="1"/>
  <c r="L48" i="1"/>
  <c r="L50" i="1"/>
  <c r="M33" i="1"/>
  <c r="M34" i="1"/>
  <c r="M36" i="1"/>
  <c r="M40" i="1" s="1"/>
  <c r="M37" i="1"/>
  <c r="M38" i="1"/>
  <c r="M39" i="1"/>
  <c r="M42" i="1"/>
  <c r="M43" i="1"/>
  <c r="M44" i="1"/>
  <c r="M47" i="1"/>
  <c r="M48" i="1"/>
  <c r="M50" i="1"/>
  <c r="N33" i="1"/>
  <c r="N34" i="1"/>
  <c r="N36" i="1"/>
  <c r="N37" i="1"/>
  <c r="N38" i="1"/>
  <c r="N39" i="1"/>
  <c r="N42" i="1"/>
  <c r="N44" i="1"/>
  <c r="N47" i="1"/>
  <c r="N48" i="1"/>
  <c r="N50" i="1"/>
  <c r="N134" i="1"/>
  <c r="M134" i="1"/>
  <c r="L134" i="1"/>
  <c r="K134" i="1"/>
  <c r="N85" i="1"/>
  <c r="M85" i="1"/>
  <c r="L85" i="1"/>
  <c r="K85" i="1"/>
  <c r="Q47" i="1"/>
  <c r="Q38" i="1"/>
  <c r="P2" i="1"/>
  <c r="O38" i="1"/>
  <c r="O33" i="1"/>
  <c r="O37" i="1"/>
  <c r="O36" i="1"/>
  <c r="O52" i="1"/>
  <c r="Q2" i="1"/>
  <c r="P8" i="1"/>
  <c r="Q8" i="1"/>
  <c r="Q33" i="1"/>
  <c r="Q34" i="1"/>
  <c r="P36" i="1"/>
  <c r="Q36" i="1"/>
  <c r="Q40" i="1" s="1"/>
  <c r="P37" i="1"/>
  <c r="Q37" i="1"/>
  <c r="P38" i="1"/>
  <c r="P39" i="1"/>
  <c r="Q39" i="1"/>
  <c r="P42" i="1"/>
  <c r="Q42" i="1"/>
  <c r="Q43" i="1"/>
  <c r="P44" i="1"/>
  <c r="Q44" i="1"/>
  <c r="P47" i="1"/>
  <c r="P48" i="1"/>
  <c r="Q48" i="1"/>
  <c r="P50" i="1"/>
  <c r="Q50" i="1"/>
  <c r="P52" i="1"/>
  <c r="Q52" i="1"/>
  <c r="P159" i="1"/>
  <c r="Q159" i="1"/>
  <c r="P43" i="1"/>
  <c r="P33" i="1"/>
  <c r="P34" i="1"/>
  <c r="P175" i="1"/>
  <c r="Q175" i="1"/>
  <c r="A112" i="1"/>
  <c r="A113" i="1"/>
  <c r="A114" i="1"/>
  <c r="A115" i="1"/>
  <c r="A116" i="1"/>
  <c r="A117" i="1"/>
  <c r="A118" i="1"/>
  <c r="A119" i="1"/>
  <c r="A120" i="1"/>
  <c r="A111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87" i="1"/>
  <c r="A59" i="1"/>
  <c r="A60" i="1"/>
  <c r="A61" i="1"/>
  <c r="A62" i="1"/>
  <c r="A63" i="1"/>
  <c r="A64" i="1"/>
  <c r="A65" i="1"/>
  <c r="A66" i="1"/>
  <c r="A67" i="1"/>
  <c r="A68" i="1"/>
  <c r="A71" i="1"/>
  <c r="A122" i="1" s="1"/>
  <c r="A72" i="1"/>
  <c r="A123" i="1" s="1"/>
  <c r="A73" i="1"/>
  <c r="A124" i="1" s="1"/>
  <c r="A74" i="1"/>
  <c r="A125" i="1" s="1"/>
  <c r="A75" i="1"/>
  <c r="A126" i="1" s="1"/>
  <c r="A76" i="1"/>
  <c r="A127" i="1" s="1"/>
  <c r="A77" i="1"/>
  <c r="A128" i="1" s="1"/>
  <c r="A78" i="1"/>
  <c r="A129" i="1" s="1"/>
  <c r="A79" i="1"/>
  <c r="A130" i="1" s="1"/>
  <c r="A80" i="1"/>
  <c r="A131" i="1" s="1"/>
  <c r="A81" i="1"/>
  <c r="A58" i="1"/>
  <c r="O34" i="1"/>
  <c r="O42" i="1"/>
  <c r="O44" i="1"/>
  <c r="O47" i="1"/>
  <c r="K52" i="1"/>
  <c r="L52" i="1"/>
  <c r="M52" i="1"/>
  <c r="N52" i="1"/>
  <c r="K8" i="1"/>
  <c r="L8" i="1"/>
  <c r="M8" i="1"/>
  <c r="N8" i="1"/>
  <c r="O8" i="1"/>
  <c r="P170" i="1"/>
  <c r="Q170" i="1"/>
  <c r="K158" i="1"/>
  <c r="K109" i="1"/>
  <c r="K56" i="1"/>
  <c r="K3" i="1"/>
  <c r="K31" i="1" s="1"/>
  <c r="L56" i="1"/>
  <c r="M56" i="1"/>
  <c r="N56" i="1"/>
  <c r="L3" i="1"/>
  <c r="L31" i="1" s="1"/>
  <c r="L158" i="1"/>
  <c r="L109" i="1"/>
  <c r="M158" i="1"/>
  <c r="M109" i="1"/>
  <c r="M3" i="1"/>
  <c r="M31" i="1" s="1"/>
  <c r="O158" i="1"/>
  <c r="N158" i="1"/>
  <c r="N109" i="1"/>
  <c r="O2" i="1"/>
  <c r="N3" i="1"/>
  <c r="N31" i="1" s="1"/>
  <c r="O175" i="1"/>
  <c r="J178" i="1"/>
  <c r="O43" i="1"/>
  <c r="J177" i="1"/>
  <c r="M65" i="1"/>
  <c r="O50" i="1"/>
  <c r="O48" i="1"/>
  <c r="J170" i="1"/>
  <c r="Q191" i="1" l="1"/>
  <c r="P191" i="1"/>
  <c r="N191" i="1"/>
  <c r="M191" i="1"/>
  <c r="K191" i="1"/>
  <c r="L102" i="1"/>
  <c r="L101" i="1"/>
  <c r="J49" i="1"/>
  <c r="J51" i="1" s="1"/>
  <c r="J163" i="1" s="1"/>
  <c r="J188" i="1"/>
  <c r="K92" i="1"/>
  <c r="M66" i="1"/>
  <c r="M78" i="1"/>
  <c r="M73" i="1"/>
  <c r="L63" i="1"/>
  <c r="K73" i="1"/>
  <c r="K72" i="1"/>
  <c r="K104" i="1"/>
  <c r="K97" i="1"/>
  <c r="Q27" i="1"/>
  <c r="P27" i="1"/>
  <c r="N27" i="1"/>
  <c r="M27" i="1"/>
  <c r="L27" i="1"/>
  <c r="K27" i="1"/>
  <c r="P189" i="1"/>
  <c r="N189" i="1"/>
  <c r="P186" i="1"/>
  <c r="N77" i="1"/>
  <c r="M77" i="1"/>
  <c r="L65" i="1"/>
  <c r="L62" i="1"/>
  <c r="L77" i="1"/>
  <c r="K65" i="1"/>
  <c r="J176" i="1"/>
  <c r="M72" i="1"/>
  <c r="M185" i="1"/>
  <c r="P185" i="1"/>
  <c r="P187" i="1" s="1"/>
  <c r="K77" i="1"/>
  <c r="L87" i="1"/>
  <c r="P173" i="1"/>
  <c r="L179" i="1"/>
  <c r="K179" i="1"/>
  <c r="M62" i="1"/>
  <c r="L189" i="1"/>
  <c r="K185" i="1"/>
  <c r="M61" i="1"/>
  <c r="L94" i="1"/>
  <c r="N63" i="1"/>
  <c r="M64" i="1"/>
  <c r="N185" i="1"/>
  <c r="Q186" i="1"/>
  <c r="N186" i="1"/>
  <c r="K186" i="1"/>
  <c r="M58" i="1"/>
  <c r="L67" i="1"/>
  <c r="Q45" i="1"/>
  <c r="N78" i="1"/>
  <c r="M63" i="1"/>
  <c r="L66" i="1"/>
  <c r="M106" i="1"/>
  <c r="J118" i="1"/>
  <c r="J119" i="1"/>
  <c r="J120" i="1"/>
  <c r="J127" i="1"/>
  <c r="J123" i="1"/>
  <c r="J183" i="1"/>
  <c r="M186" i="1"/>
  <c r="M102" i="1"/>
  <c r="N61" i="1"/>
  <c r="M101" i="1"/>
  <c r="N60" i="1"/>
  <c r="J164" i="1"/>
  <c r="J115" i="1"/>
  <c r="M79" i="1"/>
  <c r="M189" i="1"/>
  <c r="L61" i="1"/>
  <c r="K75" i="1"/>
  <c r="J189" i="1"/>
  <c r="K60" i="1"/>
  <c r="P164" i="1"/>
  <c r="M76" i="1"/>
  <c r="L75" i="1"/>
  <c r="K76" i="1"/>
  <c r="N177" i="1"/>
  <c r="M71" i="1"/>
  <c r="Q173" i="1"/>
  <c r="K59" i="1"/>
  <c r="L90" i="1"/>
  <c r="K88" i="1"/>
  <c r="N67" i="1"/>
  <c r="M75" i="1"/>
  <c r="L76" i="1"/>
  <c r="N179" i="1"/>
  <c r="K177" i="1"/>
  <c r="N101" i="1"/>
  <c r="P177" i="1"/>
  <c r="M177" i="1"/>
  <c r="M173" i="1"/>
  <c r="L71" i="1"/>
  <c r="P35" i="1"/>
  <c r="P166" i="1" s="1"/>
  <c r="L35" i="1"/>
  <c r="L166" i="1" s="1"/>
  <c r="K93" i="1"/>
  <c r="N178" i="1"/>
  <c r="M67" i="1"/>
  <c r="M74" i="1"/>
  <c r="L58" i="1"/>
  <c r="L74" i="1"/>
  <c r="K67" i="1"/>
  <c r="K58" i="1"/>
  <c r="N102" i="1"/>
  <c r="Q164" i="1"/>
  <c r="J126" i="1"/>
  <c r="Q179" i="1"/>
  <c r="P179" i="1"/>
  <c r="K71" i="1"/>
  <c r="Q35" i="1"/>
  <c r="Q166" i="1" s="1"/>
  <c r="N98" i="1"/>
  <c r="M98" i="1"/>
  <c r="L93" i="1"/>
  <c r="K102" i="1"/>
  <c r="L91" i="1"/>
  <c r="K98" i="1"/>
  <c r="J116" i="1"/>
  <c r="N173" i="1"/>
  <c r="K173" i="1"/>
  <c r="N66" i="1"/>
  <c r="M90" i="1"/>
  <c r="L92" i="1"/>
  <c r="K90" i="1"/>
  <c r="L79" i="1"/>
  <c r="M178" i="1"/>
  <c r="J128" i="1"/>
  <c r="J111" i="1"/>
  <c r="J122" i="1"/>
  <c r="Q189" i="1"/>
  <c r="L98" i="1"/>
  <c r="K164" i="1"/>
  <c r="K96" i="1"/>
  <c r="K101" i="1"/>
  <c r="L73" i="1"/>
  <c r="K66" i="1"/>
  <c r="L164" i="1"/>
  <c r="J124" i="1"/>
  <c r="J129" i="1"/>
  <c r="J130" i="1"/>
  <c r="J181" i="1" s="1"/>
  <c r="J125" i="1"/>
  <c r="K189" i="1"/>
  <c r="L178" i="1"/>
  <c r="L96" i="1"/>
  <c r="N106" i="1"/>
  <c r="K91" i="1"/>
  <c r="P165" i="1"/>
  <c r="M93" i="1"/>
  <c r="M28" i="1"/>
  <c r="L45" i="1"/>
  <c r="L171" i="1" s="1"/>
  <c r="N76" i="1"/>
  <c r="K63" i="1"/>
  <c r="L11" i="1"/>
  <c r="L174" i="1" s="1"/>
  <c r="L185" i="1"/>
  <c r="K62" i="1"/>
  <c r="L186" i="1"/>
  <c r="J185" i="1"/>
  <c r="J186" i="1"/>
  <c r="N88" i="1"/>
  <c r="P45" i="1"/>
  <c r="Q178" i="1"/>
  <c r="P15" i="1"/>
  <c r="P111" i="1" s="1"/>
  <c r="P178" i="1"/>
  <c r="N65" i="1"/>
  <c r="L60" i="1"/>
  <c r="M60" i="1"/>
  <c r="M179" i="1"/>
  <c r="L59" i="1"/>
  <c r="M59" i="1"/>
  <c r="J113" i="1"/>
  <c r="K106" i="1"/>
  <c r="L78" i="1"/>
  <c r="J112" i="1"/>
  <c r="J179" i="1"/>
  <c r="N96" i="1"/>
  <c r="M96" i="1"/>
  <c r="M45" i="1"/>
  <c r="L97" i="1"/>
  <c r="K35" i="1"/>
  <c r="K166" i="1" s="1"/>
  <c r="K87" i="1"/>
  <c r="K79" i="1"/>
  <c r="K178" i="1"/>
  <c r="K74" i="1"/>
  <c r="J131" i="1"/>
  <c r="J182" i="1" s="1"/>
  <c r="K45" i="1"/>
  <c r="Q15" i="1"/>
  <c r="Q120" i="1" s="1"/>
  <c r="Q183" i="1"/>
  <c r="Q22" i="1"/>
  <c r="O165" i="1"/>
  <c r="Q165" i="1"/>
  <c r="M87" i="1"/>
  <c r="N164" i="1"/>
  <c r="N35" i="1"/>
  <c r="N166" i="1" s="1"/>
  <c r="N87" i="1"/>
  <c r="M35" i="1"/>
  <c r="M166" i="1" s="1"/>
  <c r="M164" i="1"/>
  <c r="L88" i="1"/>
  <c r="M88" i="1"/>
  <c r="M165" i="1"/>
  <c r="N104" i="1"/>
  <c r="L165" i="1"/>
  <c r="K61" i="1"/>
  <c r="N90" i="1"/>
  <c r="O35" i="1"/>
  <c r="O164" i="1"/>
  <c r="O39" i="1"/>
  <c r="N92" i="1"/>
  <c r="L177" i="1"/>
  <c r="N40" i="1"/>
  <c r="N91" i="1"/>
  <c r="M91" i="1"/>
  <c r="M92" i="1"/>
  <c r="M104" i="1"/>
  <c r="L104" i="1"/>
  <c r="O45" i="1"/>
  <c r="L106" i="1"/>
  <c r="P40" i="1"/>
  <c r="Q185" i="1"/>
  <c r="N43" i="1"/>
  <c r="K174" i="1"/>
  <c r="K40" i="1"/>
  <c r="O5" i="1"/>
  <c r="O18" i="1"/>
  <c r="P22" i="1"/>
  <c r="O6" i="1"/>
  <c r="O19" i="1"/>
  <c r="O26" i="1"/>
  <c r="O20" i="1"/>
  <c r="N15" i="1"/>
  <c r="M15" i="1"/>
  <c r="K15" i="1"/>
  <c r="O21" i="1"/>
  <c r="Q41" i="1" l="1"/>
  <c r="Q150" i="1" s="1"/>
  <c r="J53" i="1"/>
  <c r="O27" i="1"/>
  <c r="J168" i="1"/>
  <c r="L191" i="1"/>
  <c r="M94" i="1"/>
  <c r="O166" i="1"/>
  <c r="M187" i="1"/>
  <c r="Q171" i="1"/>
  <c r="K89" i="1"/>
  <c r="N187" i="1"/>
  <c r="K187" i="1"/>
  <c r="Q114" i="1"/>
  <c r="P131" i="1"/>
  <c r="P182" i="1" s="1"/>
  <c r="L15" i="1"/>
  <c r="L131" i="1" s="1"/>
  <c r="L182" i="1" s="1"/>
  <c r="Q187" i="1"/>
  <c r="Q126" i="1"/>
  <c r="L41" i="1"/>
  <c r="L167" i="1" s="1"/>
  <c r="Q131" i="1"/>
  <c r="Q182" i="1" s="1"/>
  <c r="M183" i="1"/>
  <c r="M29" i="1"/>
  <c r="P183" i="1"/>
  <c r="L28" i="1"/>
  <c r="L81" i="1" s="1"/>
  <c r="L80" i="1"/>
  <c r="L183" i="1"/>
  <c r="L54" i="1"/>
  <c r="Q125" i="1"/>
  <c r="Q111" i="1"/>
  <c r="M80" i="1"/>
  <c r="N183" i="1"/>
  <c r="M54" i="1"/>
  <c r="N28" i="1"/>
  <c r="M81" i="1" s="1"/>
  <c r="K99" i="1"/>
  <c r="K171" i="1"/>
  <c r="J173" i="1"/>
  <c r="J117" i="1"/>
  <c r="J174" i="1"/>
  <c r="Q140" i="1"/>
  <c r="Q46" i="1"/>
  <c r="Q188" i="1" s="1"/>
  <c r="Q147" i="1"/>
  <c r="M171" i="1"/>
  <c r="L99" i="1"/>
  <c r="Q28" i="1"/>
  <c r="Q29" i="1" s="1"/>
  <c r="K28" i="1"/>
  <c r="K54" i="1"/>
  <c r="K80" i="1"/>
  <c r="Q122" i="1"/>
  <c r="Q117" i="1"/>
  <c r="Q129" i="1"/>
  <c r="Q123" i="1"/>
  <c r="Q118" i="1"/>
  <c r="Q113" i="1"/>
  <c r="Q176" i="1"/>
  <c r="Q119" i="1"/>
  <c r="Q112" i="1"/>
  <c r="Q128" i="1"/>
  <c r="Q127" i="1"/>
  <c r="Q115" i="1"/>
  <c r="Q124" i="1"/>
  <c r="Q130" i="1"/>
  <c r="Q181" i="1" s="1"/>
  <c r="Q116" i="1"/>
  <c r="K183" i="1"/>
  <c r="J187" i="1"/>
  <c r="L173" i="1"/>
  <c r="K64" i="1"/>
  <c r="L64" i="1"/>
  <c r="J29" i="1"/>
  <c r="P117" i="1"/>
  <c r="P128" i="1"/>
  <c r="P124" i="1"/>
  <c r="P123" i="1"/>
  <c r="P112" i="1"/>
  <c r="P130" i="1"/>
  <c r="P181" i="1" s="1"/>
  <c r="P127" i="1"/>
  <c r="P114" i="1"/>
  <c r="P120" i="1"/>
  <c r="P118" i="1"/>
  <c r="P176" i="1"/>
  <c r="P116" i="1"/>
  <c r="P125" i="1"/>
  <c r="P113" i="1"/>
  <c r="P129" i="1"/>
  <c r="P115" i="1"/>
  <c r="P119" i="1"/>
  <c r="P122" i="1"/>
  <c r="P171" i="1"/>
  <c r="L187" i="1"/>
  <c r="N80" i="1"/>
  <c r="N54" i="1"/>
  <c r="N72" i="1"/>
  <c r="O22" i="1"/>
  <c r="O178" i="1"/>
  <c r="O177" i="1"/>
  <c r="N71" i="1"/>
  <c r="K41" i="1"/>
  <c r="K143" i="1" s="1"/>
  <c r="K94" i="1"/>
  <c r="J143" i="1"/>
  <c r="N59" i="1"/>
  <c r="O179" i="1"/>
  <c r="L112" i="1"/>
  <c r="L113" i="1"/>
  <c r="L124" i="1"/>
  <c r="L123" i="1"/>
  <c r="L125" i="1"/>
  <c r="L116" i="1"/>
  <c r="N41" i="1"/>
  <c r="N143" i="1" s="1"/>
  <c r="N89" i="1"/>
  <c r="N120" i="1"/>
  <c r="N128" i="1"/>
  <c r="N112" i="1"/>
  <c r="N119" i="1"/>
  <c r="N124" i="1"/>
  <c r="N123" i="1"/>
  <c r="N125" i="1"/>
  <c r="N127" i="1"/>
  <c r="N115" i="1"/>
  <c r="N111" i="1"/>
  <c r="N118" i="1"/>
  <c r="N114" i="1"/>
  <c r="N113" i="1"/>
  <c r="N117" i="1"/>
  <c r="N130" i="1"/>
  <c r="N181" i="1" s="1"/>
  <c r="N126" i="1"/>
  <c r="N176" i="1"/>
  <c r="N122" i="1"/>
  <c r="N129" i="1"/>
  <c r="N131" i="1"/>
  <c r="N182" i="1" s="1"/>
  <c r="N116" i="1"/>
  <c r="O9" i="1"/>
  <c r="N58" i="1"/>
  <c r="O40" i="1"/>
  <c r="N79" i="1"/>
  <c r="O183" i="1"/>
  <c r="P41" i="1"/>
  <c r="P167" i="1" s="1"/>
  <c r="N74" i="1"/>
  <c r="M128" i="1"/>
  <c r="M120" i="1"/>
  <c r="M117" i="1"/>
  <c r="M112" i="1"/>
  <c r="M119" i="1"/>
  <c r="M115" i="1"/>
  <c r="M127" i="1"/>
  <c r="M122" i="1"/>
  <c r="M124" i="1"/>
  <c r="M130" i="1"/>
  <c r="M181" i="1" s="1"/>
  <c r="M111" i="1"/>
  <c r="M123" i="1"/>
  <c r="M125" i="1"/>
  <c r="M129" i="1"/>
  <c r="M126" i="1"/>
  <c r="M113" i="1"/>
  <c r="M114" i="1"/>
  <c r="M118" i="1"/>
  <c r="M176" i="1"/>
  <c r="M131" i="1"/>
  <c r="M182" i="1" s="1"/>
  <c r="M68" i="1"/>
  <c r="M116" i="1"/>
  <c r="J148" i="1"/>
  <c r="J169" i="1" s="1"/>
  <c r="J171" i="1"/>
  <c r="K111" i="1"/>
  <c r="K130" i="1"/>
  <c r="K181" i="1" s="1"/>
  <c r="K124" i="1"/>
  <c r="K116" i="1"/>
  <c r="K126" i="1"/>
  <c r="K123" i="1"/>
  <c r="K117" i="1"/>
  <c r="K113" i="1"/>
  <c r="K125" i="1"/>
  <c r="K122" i="1"/>
  <c r="K115" i="1"/>
  <c r="K112" i="1"/>
  <c r="K119" i="1"/>
  <c r="K120" i="1"/>
  <c r="K176" i="1"/>
  <c r="K127" i="1"/>
  <c r="K129" i="1"/>
  <c r="K128" i="1"/>
  <c r="K131" i="1"/>
  <c r="K182" i="1" s="1"/>
  <c r="K118" i="1"/>
  <c r="N73" i="1"/>
  <c r="P28" i="1"/>
  <c r="P126" i="1"/>
  <c r="L138" i="1"/>
  <c r="N45" i="1"/>
  <c r="M97" i="1"/>
  <c r="N97" i="1"/>
  <c r="O171" i="1"/>
  <c r="K114" i="1"/>
  <c r="M41" i="1"/>
  <c r="M167" i="1" s="1"/>
  <c r="L89" i="1"/>
  <c r="M89" i="1"/>
  <c r="Q143" i="1" l="1"/>
  <c r="Q141" i="1"/>
  <c r="Q151" i="1"/>
  <c r="Q142" i="1"/>
  <c r="Q155" i="1"/>
  <c r="Q139" i="1"/>
  <c r="Q137" i="1"/>
  <c r="Q167" i="1"/>
  <c r="Q145" i="1"/>
  <c r="Q146" i="1"/>
  <c r="Q148" i="1"/>
  <c r="Q169" i="1" s="1"/>
  <c r="Q136" i="1"/>
  <c r="Q138" i="1"/>
  <c r="Q153" i="1"/>
  <c r="Q144" i="1"/>
  <c r="L140" i="1"/>
  <c r="L153" i="1"/>
  <c r="L46" i="1"/>
  <c r="L49" i="1" s="1"/>
  <c r="L168" i="1" s="1"/>
  <c r="L143" i="1"/>
  <c r="L155" i="1"/>
  <c r="L146" i="1"/>
  <c r="L150" i="1"/>
  <c r="L151" i="1"/>
  <c r="L137" i="1"/>
  <c r="L148" i="1"/>
  <c r="L169" i="1" s="1"/>
  <c r="L139" i="1"/>
  <c r="L136" i="1"/>
  <c r="L142" i="1"/>
  <c r="L144" i="1"/>
  <c r="L141" i="1"/>
  <c r="L147" i="1"/>
  <c r="L145" i="1"/>
  <c r="L170" i="1" s="1"/>
  <c r="N94" i="1"/>
  <c r="N167" i="1"/>
  <c r="K167" i="1"/>
  <c r="L122" i="1"/>
  <c r="L68" i="1"/>
  <c r="L120" i="1"/>
  <c r="L129" i="1"/>
  <c r="L127" i="1"/>
  <c r="L118" i="1"/>
  <c r="L176" i="1"/>
  <c r="L117" i="1"/>
  <c r="L111" i="1"/>
  <c r="L126" i="1"/>
  <c r="L119" i="1"/>
  <c r="K68" i="1"/>
  <c r="L114" i="1"/>
  <c r="L130" i="1"/>
  <c r="L181" i="1" s="1"/>
  <c r="L128" i="1"/>
  <c r="L115" i="1"/>
  <c r="N146" i="1"/>
  <c r="N138" i="1"/>
  <c r="N29" i="1"/>
  <c r="P143" i="1"/>
  <c r="L29" i="1"/>
  <c r="Q149" i="1"/>
  <c r="Q49" i="1"/>
  <c r="Q168" i="1" s="1"/>
  <c r="Q190" i="1"/>
  <c r="K81" i="1"/>
  <c r="K29" i="1"/>
  <c r="N165" i="1"/>
  <c r="P29" i="1"/>
  <c r="M46" i="1"/>
  <c r="M151" i="1"/>
  <c r="M144" i="1"/>
  <c r="M136" i="1"/>
  <c r="M145" i="1"/>
  <c r="M170" i="1" s="1"/>
  <c r="M146" i="1"/>
  <c r="M148" i="1"/>
  <c r="M169" i="1" s="1"/>
  <c r="M95" i="1"/>
  <c r="M147" i="1"/>
  <c r="M139" i="1"/>
  <c r="M140" i="1"/>
  <c r="M150" i="1"/>
  <c r="M142" i="1"/>
  <c r="M155" i="1"/>
  <c r="M143" i="1"/>
  <c r="M141" i="1"/>
  <c r="M137" i="1"/>
  <c r="M153" i="1"/>
  <c r="L175" i="1"/>
  <c r="K165" i="1"/>
  <c r="K46" i="1"/>
  <c r="K188" i="1" s="1"/>
  <c r="K141" i="1"/>
  <c r="K155" i="1"/>
  <c r="K142" i="1"/>
  <c r="K148" i="1"/>
  <c r="K169" i="1" s="1"/>
  <c r="K145" i="1"/>
  <c r="K170" i="1" s="1"/>
  <c r="K147" i="1"/>
  <c r="K150" i="1"/>
  <c r="K136" i="1"/>
  <c r="K139" i="1"/>
  <c r="K144" i="1"/>
  <c r="K140" i="1"/>
  <c r="K137" i="1"/>
  <c r="K138" i="1"/>
  <c r="K95" i="1"/>
  <c r="K153" i="1"/>
  <c r="K146" i="1"/>
  <c r="K151" i="1"/>
  <c r="N171" i="1"/>
  <c r="M99" i="1"/>
  <c r="N99" i="1"/>
  <c r="N148" i="1"/>
  <c r="N169" i="1" s="1"/>
  <c r="J175" i="1"/>
  <c r="M138" i="1"/>
  <c r="P136" i="1"/>
  <c r="P139" i="1"/>
  <c r="P145" i="1"/>
  <c r="P137" i="1"/>
  <c r="P142" i="1"/>
  <c r="P151" i="1"/>
  <c r="P147" i="1"/>
  <c r="P46" i="1"/>
  <c r="P188" i="1" s="1"/>
  <c r="P140" i="1"/>
  <c r="P146" i="1"/>
  <c r="P150" i="1"/>
  <c r="P148" i="1"/>
  <c r="P169" i="1" s="1"/>
  <c r="P144" i="1"/>
  <c r="P141" i="1"/>
  <c r="P153" i="1"/>
  <c r="P138" i="1"/>
  <c r="P155" i="1"/>
  <c r="J165" i="1"/>
  <c r="K175" i="1"/>
  <c r="L95" i="1"/>
  <c r="O11" i="1"/>
  <c r="O191" i="1" s="1"/>
  <c r="O189" i="1"/>
  <c r="N62" i="1"/>
  <c r="O185" i="1"/>
  <c r="O186" i="1"/>
  <c r="M175" i="1"/>
  <c r="N153" i="1"/>
  <c r="N141" i="1"/>
  <c r="N147" i="1"/>
  <c r="N46" i="1"/>
  <c r="N188" i="1" s="1"/>
  <c r="N142" i="1"/>
  <c r="N151" i="1"/>
  <c r="N140" i="1"/>
  <c r="N145" i="1"/>
  <c r="N170" i="1" s="1"/>
  <c r="N155" i="1"/>
  <c r="N150" i="1"/>
  <c r="N139" i="1"/>
  <c r="N137" i="1"/>
  <c r="N144" i="1"/>
  <c r="N136" i="1"/>
  <c r="O41" i="1"/>
  <c r="O167" i="1" s="1"/>
  <c r="J139" i="1"/>
  <c r="J136" i="1"/>
  <c r="J144" i="1"/>
  <c r="J146" i="1"/>
  <c r="J150" i="1"/>
  <c r="J138" i="1"/>
  <c r="J151" i="1"/>
  <c r="J155" i="1"/>
  <c r="J141" i="1"/>
  <c r="J137" i="1"/>
  <c r="J140" i="1"/>
  <c r="J142" i="1"/>
  <c r="J145" i="1"/>
  <c r="J153" i="1"/>
  <c r="J147" i="1"/>
  <c r="O28" i="1"/>
  <c r="N75" i="1"/>
  <c r="L100" i="1" l="1"/>
  <c r="M188" i="1"/>
  <c r="L149" i="1"/>
  <c r="L188" i="1"/>
  <c r="L190" i="1"/>
  <c r="Q152" i="1"/>
  <c r="Q51" i="1"/>
  <c r="Q163" i="1" s="1"/>
  <c r="O144" i="1"/>
  <c r="O145" i="1"/>
  <c r="O170" i="1" s="1"/>
  <c r="O147" i="1"/>
  <c r="O137" i="1"/>
  <c r="O46" i="1"/>
  <c r="O155" i="1"/>
  <c r="O150" i="1"/>
  <c r="O141" i="1"/>
  <c r="O140" i="1"/>
  <c r="O136" i="1"/>
  <c r="O146" i="1"/>
  <c r="O153" i="1"/>
  <c r="O151" i="1"/>
  <c r="O139" i="1"/>
  <c r="O148" i="1"/>
  <c r="O169" i="1" s="1"/>
  <c r="O142" i="1"/>
  <c r="O138" i="1"/>
  <c r="N64" i="1"/>
  <c r="O174" i="1"/>
  <c r="O173" i="1"/>
  <c r="O15" i="1"/>
  <c r="P149" i="1"/>
  <c r="P190" i="1"/>
  <c r="P49" i="1"/>
  <c r="P168" i="1" s="1"/>
  <c r="J190" i="1"/>
  <c r="J149" i="1"/>
  <c r="N81" i="1"/>
  <c r="N49" i="1"/>
  <c r="N168" i="1" s="1"/>
  <c r="N190" i="1"/>
  <c r="N149" i="1"/>
  <c r="L51" i="1"/>
  <c r="L163" i="1" s="1"/>
  <c r="L152" i="1"/>
  <c r="O187" i="1"/>
  <c r="O143" i="1"/>
  <c r="K49" i="1"/>
  <c r="K168" i="1" s="1"/>
  <c r="K149" i="1"/>
  <c r="K190" i="1"/>
  <c r="K100" i="1"/>
  <c r="N95" i="1"/>
  <c r="M49" i="1"/>
  <c r="M168" i="1" s="1"/>
  <c r="M149" i="1"/>
  <c r="M100" i="1"/>
  <c r="M190" i="1"/>
  <c r="J54" i="1" l="1"/>
  <c r="N100" i="1"/>
  <c r="O188" i="1"/>
  <c r="Q53" i="1"/>
  <c r="Q154" i="1"/>
  <c r="Q161" i="1"/>
  <c r="O120" i="1"/>
  <c r="O113" i="1"/>
  <c r="O114" i="1"/>
  <c r="O119" i="1"/>
  <c r="O116" i="1"/>
  <c r="O129" i="1"/>
  <c r="O118" i="1"/>
  <c r="O127" i="1"/>
  <c r="O128" i="1"/>
  <c r="O125" i="1"/>
  <c r="O131" i="1"/>
  <c r="O182" i="1" s="1"/>
  <c r="O122" i="1"/>
  <c r="O112" i="1"/>
  <c r="N68" i="1"/>
  <c r="O130" i="1"/>
  <c r="O181" i="1" s="1"/>
  <c r="O124" i="1"/>
  <c r="O123" i="1"/>
  <c r="O111" i="1"/>
  <c r="O176" i="1"/>
  <c r="O126" i="1"/>
  <c r="O115" i="1"/>
  <c r="K51" i="1"/>
  <c r="K163" i="1" s="1"/>
  <c r="K103" i="1"/>
  <c r="K152" i="1"/>
  <c r="P51" i="1"/>
  <c r="P163" i="1" s="1"/>
  <c r="P152" i="1"/>
  <c r="M51" i="1"/>
  <c r="M163" i="1" s="1"/>
  <c r="M152" i="1"/>
  <c r="M103" i="1"/>
  <c r="L161" i="1"/>
  <c r="L154" i="1"/>
  <c r="L53" i="1"/>
  <c r="O29" i="1"/>
  <c r="N175" i="1"/>
  <c r="O149" i="1"/>
  <c r="O49" i="1"/>
  <c r="O190" i="1"/>
  <c r="L103" i="1"/>
  <c r="J152" i="1"/>
  <c r="N51" i="1"/>
  <c r="N163" i="1" s="1"/>
  <c r="N152" i="1"/>
  <c r="O117" i="1"/>
  <c r="N103" i="1" l="1"/>
  <c r="O168" i="1"/>
  <c r="Q162" i="1"/>
  <c r="Q156" i="1"/>
  <c r="J154" i="1"/>
  <c r="J161" i="1"/>
  <c r="L162" i="1"/>
  <c r="L156" i="1"/>
  <c r="P53" i="1"/>
  <c r="P154" i="1"/>
  <c r="P161" i="1"/>
  <c r="M154" i="1"/>
  <c r="M53" i="1"/>
  <c r="L107" i="1" s="1"/>
  <c r="M161" i="1"/>
  <c r="M105" i="1"/>
  <c r="N154" i="1"/>
  <c r="N161" i="1"/>
  <c r="N53" i="1"/>
  <c r="K154" i="1"/>
  <c r="K53" i="1"/>
  <c r="K161" i="1"/>
  <c r="K105" i="1"/>
  <c r="O51" i="1"/>
  <c r="O163" i="1" s="1"/>
  <c r="O152" i="1"/>
  <c r="L105" i="1"/>
  <c r="P162" i="1" l="1"/>
  <c r="P156" i="1"/>
  <c r="O154" i="1"/>
  <c r="O53" i="1"/>
  <c r="N107" i="1" s="1"/>
  <c r="O161" i="1"/>
  <c r="M156" i="1"/>
  <c r="M162" i="1"/>
  <c r="M107" i="1"/>
  <c r="K156" i="1"/>
  <c r="K162" i="1"/>
  <c r="K107" i="1"/>
  <c r="N156" i="1"/>
  <c r="N162" i="1"/>
  <c r="N105" i="1"/>
  <c r="J162" i="1"/>
  <c r="J156" i="1"/>
  <c r="O156" i="1" l="1"/>
  <c r="O162" i="1"/>
</calcChain>
</file>

<file path=xl/sharedStrings.xml><?xml version="1.0" encoding="utf-8"?>
<sst xmlns="http://schemas.openxmlformats.org/spreadsheetml/2006/main" count="197" uniqueCount="94">
  <si>
    <t>Notes:</t>
  </si>
  <si>
    <t>Caisse</t>
  </si>
  <si>
    <t>Créances interbancaires</t>
  </si>
  <si>
    <t>Titres de placement</t>
  </si>
  <si>
    <t>Autres titres</t>
  </si>
  <si>
    <t>Créances brutes sur la clientèle</t>
  </si>
  <si>
    <t>Créances nettes sur la clientèle</t>
  </si>
  <si>
    <t>Immobilisations financières</t>
  </si>
  <si>
    <t>Autres actifs</t>
  </si>
  <si>
    <t>Dépôts de la clientèle</t>
  </si>
  <si>
    <t>Dettes interbancaires</t>
  </si>
  <si>
    <t>Emprunts</t>
  </si>
  <si>
    <t>Autres passifs</t>
  </si>
  <si>
    <t>Dette subordonnée</t>
  </si>
  <si>
    <t>Intérêts minoritaires</t>
  </si>
  <si>
    <t>Total du passif</t>
  </si>
  <si>
    <t>Actifs immobilisés corporels et incorporels</t>
  </si>
  <si>
    <t>Total du passif, hors dette subordonnée et fonds propres</t>
  </si>
  <si>
    <t>Intérêts perçus</t>
  </si>
  <si>
    <t>Intérêts payés</t>
  </si>
  <si>
    <t>Marge d'intérêts</t>
  </si>
  <si>
    <t>Produit net des titres de placement</t>
  </si>
  <si>
    <t>Total des produits d'exploitation</t>
  </si>
  <si>
    <t>Charges de personnel</t>
  </si>
  <si>
    <t>Total des charges d'exploitation</t>
  </si>
  <si>
    <t>Autres charges d'exploitation</t>
  </si>
  <si>
    <t>Résultat non courant, net</t>
  </si>
  <si>
    <t>Résultat avant impôt sur le bénéfice</t>
  </si>
  <si>
    <t>Impôt sur le bénéfice</t>
  </si>
  <si>
    <t>Résultat net</t>
  </si>
  <si>
    <t>Résultat net, part du Groupe</t>
  </si>
  <si>
    <t>Produit net des opérations de change</t>
  </si>
  <si>
    <t>Total des produits d'exploitation, hors marge d'intérêt</t>
  </si>
  <si>
    <t>Commissions nettes</t>
  </si>
  <si>
    <t>Autres produits d'exploitation nets</t>
  </si>
  <si>
    <t>Produit pré-provisions (PPP)</t>
  </si>
  <si>
    <t>COMPOSITION DU BILAN  (% du total de l'actif)</t>
  </si>
  <si>
    <t>RATIOS</t>
  </si>
  <si>
    <t>Rentabilité</t>
  </si>
  <si>
    <t>Capitalisation</t>
  </si>
  <si>
    <t>Qualité d'actifs</t>
  </si>
  <si>
    <t>Retour sur actifs moyens (%)</t>
  </si>
  <si>
    <t>Intérêts payés / Intérêts perçus (%)</t>
  </si>
  <si>
    <t>Produits d'exploitation, hors marge / Total des produits d'exploitation (%)</t>
  </si>
  <si>
    <t>Impôt sur le bénéfice / Résultat avant impôt (%)</t>
  </si>
  <si>
    <t>Charges de personnel / Total des produits d'exploitation (%)</t>
  </si>
  <si>
    <t>Charges de personnel / Total des charges d'exploitation (%)</t>
  </si>
  <si>
    <t>Créances nettes sur la clientèle / Dépôts de la clientèle (%)</t>
  </si>
  <si>
    <t>Dépôts de la clientèle / Total des dépôts (%)</t>
  </si>
  <si>
    <t>Créances interbancaires / Dettes interbancaires (%)</t>
  </si>
  <si>
    <t>1. Actifs à rendements = Créances interbancaires + Titres + Créances sur le clientèle</t>
  </si>
  <si>
    <t>2. Passifs à rendements = Dépôts de la clientèle + Dettes interbancaires + Emprunts + Dette surbordonnée</t>
  </si>
  <si>
    <t>3. Marge nette = Intérêts perçus / Moyenne des actifs à rendements - Intérêts payés / Moyenne des passifs à rendements</t>
  </si>
  <si>
    <t>5. Coefficient d'exploitation = Charges d'exploitation / Produits d'exploitation</t>
  </si>
  <si>
    <t>Capitaux propres</t>
  </si>
  <si>
    <t>Provisions pour risques et charges (PRC)</t>
  </si>
  <si>
    <t>Fonds propres = capitaux propres + minoritaires + PRC</t>
  </si>
  <si>
    <t>Retour sur capitaux propres - fin de période (%)</t>
  </si>
  <si>
    <t>Dépôts de la clientèle / Capitaux propres (x)</t>
  </si>
  <si>
    <t>Levier financier = Capitaux propres / Actifs (%)</t>
  </si>
  <si>
    <t>Fonds propres / Actifs (%)</t>
  </si>
  <si>
    <t>Capitaux propres / Fonds propres (%)</t>
  </si>
  <si>
    <t>Retour sur fonds propres "Tier 1" (%)</t>
  </si>
  <si>
    <t>7. Actifs liquides = Caisse + Créances interbancaires + Titres</t>
  </si>
  <si>
    <t>Provisions pour créances en souffrance (PCS)</t>
  </si>
  <si>
    <t>Dotations aux provisions pour créances en souffrance (DPCS), nettes</t>
  </si>
  <si>
    <t>Créances en souffrance (CS) / Créances brutes sur la clientèles (%)</t>
  </si>
  <si>
    <t>PCS / Créances brutes sur la clientèles (%)</t>
  </si>
  <si>
    <t>Couverture des CS par les provisions = PCS/CS (%)</t>
  </si>
  <si>
    <t xml:space="preserve">Dotations aux PCS / PPP (%) </t>
  </si>
  <si>
    <t xml:space="preserve">Dotations aux PCS / Créances brutes sur la clientèle (%) </t>
  </si>
  <si>
    <t xml:space="preserve">PPP / Créances nettes sur la clientèle (%) </t>
  </si>
  <si>
    <t xml:space="preserve">Capitaux propres / Créances nettes sur la clientèle (%) </t>
  </si>
  <si>
    <t>Liquidité</t>
  </si>
  <si>
    <t>--</t>
  </si>
  <si>
    <t>TAUX DE CROISSANCE  DU BILAN (%)</t>
  </si>
  <si>
    <t>TAUX DE CROISSANCE  DU COMPTE DE RESULTATS (%)</t>
  </si>
  <si>
    <t>Dotations aux amortissements et aux provisions sur immobilisations</t>
  </si>
  <si>
    <t>4. Marge relative d'intérêts = Marge d'intérêts / Moyenne des actifs à rendements</t>
  </si>
  <si>
    <t>6. Total des dépôts = Dépôts de la clientèle + Dettes interbancaires</t>
  </si>
  <si>
    <t>BILAN (en millions de FCFA)</t>
  </si>
  <si>
    <t>Total de l'actif (en millions de FCFA)</t>
  </si>
  <si>
    <t>COMPTE DE RESULTATS  (en millions de FCFA)</t>
  </si>
  <si>
    <t>N/A</t>
  </si>
  <si>
    <t>check</t>
  </si>
  <si>
    <r>
      <t xml:space="preserve">Marge nette (%) </t>
    </r>
    <r>
      <rPr>
        <b/>
        <vertAlign val="superscript"/>
        <sz val="12"/>
        <rFont val="Garamond"/>
        <family val="1"/>
      </rPr>
      <t>3</t>
    </r>
  </si>
  <si>
    <r>
      <t>Marge relative d'intérêts (%)</t>
    </r>
    <r>
      <rPr>
        <b/>
        <vertAlign val="superscript"/>
        <sz val="12"/>
        <rFont val="Garamond"/>
        <family val="1"/>
      </rPr>
      <t xml:space="preserve"> 4</t>
    </r>
  </si>
  <si>
    <r>
      <t>Coefficient d'exploitation (%)</t>
    </r>
    <r>
      <rPr>
        <b/>
        <vertAlign val="superscript"/>
        <sz val="12"/>
        <rFont val="Garamond"/>
        <family val="1"/>
      </rPr>
      <t xml:space="preserve"> 5</t>
    </r>
  </si>
  <si>
    <r>
      <t>Créances nettes sur la clientèle / Total des dépôts</t>
    </r>
    <r>
      <rPr>
        <b/>
        <vertAlign val="superscript"/>
        <sz val="12"/>
        <rFont val="Garamond"/>
        <family val="1"/>
      </rPr>
      <t xml:space="preserve"> 6</t>
    </r>
  </si>
  <si>
    <t>COMPOSITION DU COMPTE DE RESULTATS  (% du total des produits)</t>
  </si>
  <si>
    <r>
      <t xml:space="preserve">Actifs liquides </t>
    </r>
    <r>
      <rPr>
        <b/>
        <vertAlign val="superscript"/>
        <sz val="12"/>
        <rFont val="Garamond"/>
        <family val="1"/>
      </rPr>
      <t>7</t>
    </r>
    <r>
      <rPr>
        <b/>
        <sz val="12"/>
        <rFont val="Garamond"/>
        <family val="1"/>
      </rPr>
      <t xml:space="preserve"> / Actif (%)</t>
    </r>
  </si>
  <si>
    <t>Créances nettes sur la clientèle / Actif  (%)</t>
  </si>
  <si>
    <t>N.D</t>
  </si>
  <si>
    <t>BANQUE DE L'HABITAT DU SENEGAL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</si>
</sst>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6" formatCode="General_)"/>
    <numFmt numFmtId="167" formatCode="#,##0.000"/>
    <numFmt numFmtId="168" formatCode="mm/dd/yy"/>
    <numFmt numFmtId="169" formatCode="_(* #,##0.0_);_(* \(#,##0.0\);_(* &quot;--&quot;??_);_(@_)"/>
    <numFmt numFmtId="170" formatCode="_(* #,##0.000_);_(* \(#,##0.000\);_(* &quot;--&quot;??_);_(@_)"/>
    <numFmt numFmtId="171" formatCode="0.000_ ;[Red]\-0.000\ "/>
    <numFmt numFmtId="172" formatCode="#,##0.0_ ;[Red]\-#,##0.0\ "/>
    <numFmt numFmtId="173" formatCode="#,##0.000_ ;[Red]\-#,##0.000\ "/>
    <numFmt numFmtId="174" formatCode="#,##0.00_ ;[Red]\-#,##0.00\ "/>
    <numFmt numFmtId="175" formatCode="_-* #,##0.000\ _€_-;\-* #,##0.000\ _€_-;_-* &quot;-&quot;???\ _€_-;_-@_-"/>
    <numFmt numFmtId="176" formatCode="#,##0.0"/>
    <numFmt numFmtId="177" formatCode="0.0%"/>
    <numFmt numFmtId="178" formatCode="&quot;$&quot;0&quot; &quot;;&quot;($&quot;0&quot;)&quot;"/>
    <numFmt numFmtId="179" formatCode="#,##0;[Red]#,##0"/>
    <numFmt numFmtId="180" formatCode="_(* #,##0_);_(* \(#,##0\);_(* &quot;--&quot;??_);_(@_)"/>
    <numFmt numFmtId="183" formatCode="0.0"/>
  </numFmts>
  <fonts count="28">
    <font>
      <sz val="8"/>
      <name val="Arial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MS Sans Serif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10"/>
      <color rgb="FF000000"/>
      <name val="Arial1"/>
    </font>
    <font>
      <b/>
      <sz val="12"/>
      <name val="Garamond"/>
      <family val="1"/>
    </font>
    <font>
      <sz val="12"/>
      <name val="Garamond"/>
      <family val="1"/>
    </font>
    <font>
      <i/>
      <sz val="12"/>
      <color rgb="FFFF0000"/>
      <name val="Garamond"/>
      <family val="1"/>
    </font>
    <font>
      <b/>
      <i/>
      <sz val="12"/>
      <color theme="9" tint="-0.249977111117893"/>
      <name val="Garamond"/>
      <family val="1"/>
    </font>
    <font>
      <i/>
      <sz val="12"/>
      <name val="Garamond"/>
      <family val="1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b/>
      <sz val="12"/>
      <color indexed="8"/>
      <name val="Garamond"/>
      <family val="1"/>
    </font>
    <font>
      <b/>
      <u/>
      <sz val="12"/>
      <color theme="0"/>
      <name val="Garamond"/>
      <family val="1"/>
    </font>
    <font>
      <b/>
      <sz val="12"/>
      <color theme="0"/>
      <name val="Garamond"/>
      <family val="1"/>
    </font>
    <font>
      <sz val="12"/>
      <color indexed="8"/>
      <name val="Garamond"/>
      <family val="1"/>
    </font>
    <font>
      <b/>
      <i/>
      <sz val="12"/>
      <color indexed="8"/>
      <name val="Garamond"/>
      <family val="1"/>
    </font>
    <font>
      <i/>
      <sz val="12"/>
      <color indexed="8"/>
      <name val="Garamond"/>
      <family val="1"/>
    </font>
    <font>
      <b/>
      <i/>
      <sz val="12"/>
      <name val="Garamond"/>
      <family val="1"/>
    </font>
    <font>
      <b/>
      <i/>
      <sz val="12"/>
      <color rgb="FFFF0000"/>
      <name val="Garamond"/>
      <family val="1"/>
    </font>
    <font>
      <i/>
      <sz val="12"/>
      <color theme="9" tint="-0.249977111117893"/>
      <name val="Garamond"/>
      <family val="1"/>
    </font>
    <font>
      <b/>
      <vertAlign val="superscript"/>
      <sz val="12"/>
      <name val="Garamond"/>
      <family val="1"/>
    </font>
    <font>
      <b/>
      <u/>
      <sz val="12"/>
      <name val="Garamond"/>
      <family val="1"/>
    </font>
    <font>
      <sz val="12"/>
      <color indexed="12"/>
      <name val="Garamond"/>
      <family val="1"/>
    </font>
    <font>
      <b/>
      <sz val="12"/>
      <color indexed="12"/>
      <name val="Garamond"/>
      <family val="1"/>
    </font>
    <font>
      <b/>
      <sz val="14"/>
      <color rgb="FFC0000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76">
    <xf numFmtId="0" fontId="0" fillId="0" borderId="0"/>
    <xf numFmtId="0" fontId="2" fillId="0" borderId="0"/>
    <xf numFmtId="0" fontId="3" fillId="0" borderId="0"/>
    <xf numFmtId="13" fontId="1" fillId="0" borderId="0" applyFont="0" applyFill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8" fontId="6" fillId="0" borderId="0">
      <alignment horizontal="left"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>
      <alignment horizontal="left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2">
    <xf numFmtId="0" fontId="0" fillId="0" borderId="0" xfId="0"/>
    <xf numFmtId="0" fontId="8" fillId="0" borderId="0" xfId="0" applyFont="1"/>
    <xf numFmtId="180" fontId="10" fillId="2" borderId="0" xfId="1" applyNumberFormat="1" applyFont="1" applyFill="1"/>
    <xf numFmtId="0" fontId="8" fillId="5" borderId="0" xfId="0" applyFont="1" applyFill="1"/>
    <xf numFmtId="0" fontId="11" fillId="0" borderId="0" xfId="0" applyFont="1"/>
    <xf numFmtId="166" fontId="7" fillId="2" borderId="0" xfId="1" applyNumberFormat="1" applyFont="1" applyFill="1"/>
    <xf numFmtId="167" fontId="7" fillId="2" borderId="0" xfId="1" applyNumberFormat="1" applyFont="1" applyFill="1"/>
    <xf numFmtId="0" fontId="8" fillId="2" borderId="0" xfId="0" applyFont="1" applyFill="1" applyAlignment="1">
      <alignment horizontal="right"/>
    </xf>
    <xf numFmtId="0" fontId="8" fillId="0" borderId="0" xfId="0" applyFont="1" applyFill="1"/>
    <xf numFmtId="0" fontId="7" fillId="2" borderId="0" xfId="1" applyFont="1" applyFill="1"/>
    <xf numFmtId="0" fontId="8" fillId="2" borderId="0" xfId="0" applyFont="1" applyFill="1"/>
    <xf numFmtId="14" fontId="14" fillId="2" borderId="0" xfId="1" applyNumberFormat="1" applyFont="1" applyFill="1" applyAlignment="1">
      <alignment horizontal="right"/>
    </xf>
    <xf numFmtId="0" fontId="15" fillId="4" borderId="8" xfId="1" quotePrefix="1" applyFont="1" applyFill="1" applyBorder="1" applyAlignment="1">
      <alignment horizontal="left"/>
    </xf>
    <xf numFmtId="1" fontId="16" fillId="4" borderId="9" xfId="1" quotePrefix="1" applyNumberFormat="1" applyFont="1" applyFill="1" applyBorder="1" applyAlignment="1">
      <alignment horizontal="right"/>
    </xf>
    <xf numFmtId="14" fontId="16" fillId="4" borderId="13" xfId="1" applyNumberFormat="1" applyFont="1" applyFill="1" applyBorder="1" applyAlignment="1">
      <alignment horizontal="right"/>
    </xf>
    <xf numFmtId="14" fontId="16" fillId="4" borderId="14" xfId="1" applyNumberFormat="1" applyFont="1" applyFill="1" applyBorder="1" applyAlignment="1">
      <alignment horizontal="right"/>
    </xf>
    <xf numFmtId="0" fontId="8" fillId="4" borderId="0" xfId="0" applyFont="1" applyFill="1" applyAlignment="1">
      <alignment horizontal="right"/>
    </xf>
    <xf numFmtId="0" fontId="8" fillId="4" borderId="0" xfId="0" applyFont="1" applyFill="1"/>
    <xf numFmtId="0" fontId="14" fillId="5" borderId="2" xfId="1" applyFont="1" applyFill="1" applyBorder="1"/>
    <xf numFmtId="0" fontId="17" fillId="5" borderId="3" xfId="1" applyFont="1" applyFill="1" applyBorder="1" applyAlignment="1">
      <alignment horizontal="right"/>
    </xf>
    <xf numFmtId="0" fontId="17" fillId="5" borderId="4" xfId="1" applyFont="1" applyFill="1" applyBorder="1" applyAlignment="1">
      <alignment horizontal="right"/>
    </xf>
    <xf numFmtId="0" fontId="17" fillId="5" borderId="0" xfId="1" applyFont="1" applyFill="1" applyAlignment="1">
      <alignment horizontal="right"/>
    </xf>
    <xf numFmtId="0" fontId="14" fillId="2" borderId="2" xfId="1" quotePrefix="1" applyFont="1" applyFill="1" applyBorder="1" applyAlignment="1">
      <alignment horizontal="left"/>
    </xf>
    <xf numFmtId="179" fontId="17" fillId="2" borderId="3" xfId="1" applyNumberFormat="1" applyFont="1" applyFill="1" applyBorder="1" applyAlignment="1">
      <alignment horizontal="right"/>
    </xf>
    <xf numFmtId="171" fontId="17" fillId="2" borderId="3" xfId="1" applyNumberFormat="1" applyFont="1" applyFill="1" applyBorder="1" applyAlignment="1">
      <alignment horizontal="right"/>
    </xf>
    <xf numFmtId="170" fontId="17" fillId="2" borderId="4" xfId="1" applyNumberFormat="1" applyFont="1" applyFill="1" applyBorder="1" applyAlignment="1">
      <alignment horizontal="right"/>
    </xf>
    <xf numFmtId="170" fontId="17" fillId="2" borderId="0" xfId="1" applyNumberFormat="1" applyFont="1" applyFill="1" applyAlignment="1">
      <alignment horizontal="right"/>
    </xf>
    <xf numFmtId="0" fontId="14" fillId="2" borderId="2" xfId="0" applyFont="1" applyFill="1" applyBorder="1"/>
    <xf numFmtId="170" fontId="17" fillId="2" borderId="3" xfId="1" applyNumberFormat="1" applyFont="1" applyFill="1" applyBorder="1" applyAlignment="1">
      <alignment horizontal="right"/>
    </xf>
    <xf numFmtId="0" fontId="18" fillId="2" borderId="2" xfId="1" quotePrefix="1" applyFont="1" applyFill="1" applyBorder="1" applyAlignment="1">
      <alignment horizontal="left"/>
    </xf>
    <xf numFmtId="179" fontId="19" fillId="2" borderId="3" xfId="1" applyNumberFormat="1" applyFont="1" applyFill="1" applyBorder="1" applyAlignment="1">
      <alignment horizontal="right"/>
    </xf>
    <xf numFmtId="171" fontId="19" fillId="2" borderId="3" xfId="1" applyNumberFormat="1" applyFont="1" applyFill="1" applyBorder="1" applyAlignment="1">
      <alignment horizontal="right"/>
    </xf>
    <xf numFmtId="173" fontId="19" fillId="2" borderId="4" xfId="1" applyNumberFormat="1" applyFont="1" applyFill="1" applyBorder="1" applyAlignment="1">
      <alignment horizontal="right"/>
    </xf>
    <xf numFmtId="170" fontId="19" fillId="2" borderId="0" xfId="1" applyNumberFormat="1" applyFont="1" applyFill="1" applyAlignment="1">
      <alignment horizontal="right"/>
    </xf>
    <xf numFmtId="0" fontId="7" fillId="2" borderId="2" xfId="1" quotePrefix="1" applyFont="1" applyFill="1" applyBorder="1" applyAlignment="1">
      <alignment horizontal="left"/>
    </xf>
    <xf numFmtId="0" fontId="7" fillId="3" borderId="16" xfId="1" quotePrefix="1" applyFont="1" applyFill="1" applyBorder="1" applyAlignment="1">
      <alignment horizontal="left"/>
    </xf>
    <xf numFmtId="179" fontId="14" fillId="3" borderId="17" xfId="1" applyNumberFormat="1" applyFont="1" applyFill="1" applyBorder="1" applyAlignment="1">
      <alignment horizontal="right"/>
    </xf>
    <xf numFmtId="171" fontId="14" fillId="3" borderId="17" xfId="1" applyNumberFormat="1" applyFont="1" applyFill="1" applyBorder="1" applyAlignment="1">
      <alignment horizontal="right"/>
    </xf>
    <xf numFmtId="170" fontId="14" fillId="3" borderId="18" xfId="1" applyNumberFormat="1" applyFont="1" applyFill="1" applyBorder="1" applyAlignment="1">
      <alignment horizontal="right"/>
    </xf>
    <xf numFmtId="170" fontId="14" fillId="3" borderId="0" xfId="1" applyNumberFormat="1" applyFont="1" applyFill="1" applyAlignment="1">
      <alignment horizontal="right"/>
    </xf>
    <xf numFmtId="0" fontId="8" fillId="3" borderId="0" xfId="0" applyFont="1" applyFill="1"/>
    <xf numFmtId="0" fontId="20" fillId="2" borderId="2" xfId="1" quotePrefix="1" applyFont="1" applyFill="1" applyBorder="1" applyAlignment="1">
      <alignment horizontal="left"/>
    </xf>
    <xf numFmtId="172" fontId="19" fillId="2" borderId="3" xfId="1" applyNumberFormat="1" applyFont="1" applyFill="1" applyBorder="1" applyAlignment="1">
      <alignment horizontal="right"/>
    </xf>
    <xf numFmtId="169" fontId="19" fillId="2" borderId="4" xfId="1" applyNumberFormat="1" applyFont="1" applyFill="1" applyBorder="1" applyAlignment="1">
      <alignment horizontal="right"/>
    </xf>
    <xf numFmtId="0" fontId="7" fillId="5" borderId="2" xfId="1" applyFont="1" applyFill="1" applyBorder="1"/>
    <xf numFmtId="169" fontId="17" fillId="5" borderId="3" xfId="1" applyNumberFormat="1" applyFont="1" applyFill="1" applyBorder="1" applyAlignment="1">
      <alignment horizontal="right"/>
    </xf>
    <xf numFmtId="170" fontId="17" fillId="5" borderId="4" xfId="1" applyNumberFormat="1" applyFont="1" applyFill="1" applyBorder="1" applyAlignment="1">
      <alignment horizontal="right"/>
    </xf>
    <xf numFmtId="170" fontId="17" fillId="5" borderId="0" xfId="1" applyNumberFormat="1" applyFont="1" applyFill="1" applyAlignment="1">
      <alignment horizontal="right"/>
    </xf>
    <xf numFmtId="180" fontId="17" fillId="2" borderId="3" xfId="1" applyNumberFormat="1" applyFont="1" applyFill="1" applyBorder="1" applyAlignment="1">
      <alignment horizontal="right"/>
    </xf>
    <xf numFmtId="0" fontId="7" fillId="2" borderId="2" xfId="1" applyFont="1" applyFill="1" applyBorder="1"/>
    <xf numFmtId="180" fontId="14" fillId="3" borderId="17" xfId="1" applyNumberFormat="1" applyFont="1" applyFill="1" applyBorder="1" applyAlignment="1">
      <alignment horizontal="right"/>
    </xf>
    <xf numFmtId="170" fontId="14" fillId="3" borderId="17" xfId="1" applyNumberFormat="1" applyFont="1" applyFill="1" applyBorder="1" applyAlignment="1">
      <alignment horizontal="right"/>
    </xf>
    <xf numFmtId="0" fontId="21" fillId="2" borderId="0" xfId="1" applyFont="1" applyFill="1"/>
    <xf numFmtId="180" fontId="9" fillId="2" borderId="0" xfId="1" applyNumberFormat="1" applyFont="1" applyFill="1" applyAlignment="1">
      <alignment horizontal="right"/>
    </xf>
    <xf numFmtId="0" fontId="8" fillId="2" borderId="0" xfId="1" applyFont="1" applyFill="1" applyAlignment="1">
      <alignment horizontal="right"/>
    </xf>
    <xf numFmtId="169" fontId="17" fillId="2" borderId="0" xfId="1" applyNumberFormat="1" applyFont="1" applyFill="1" applyAlignment="1">
      <alignment horizontal="right"/>
    </xf>
    <xf numFmtId="169" fontId="17" fillId="4" borderId="0" xfId="1" applyNumberFormat="1" applyFont="1" applyFill="1" applyAlignment="1">
      <alignment horizontal="right"/>
    </xf>
    <xf numFmtId="0" fontId="7" fillId="5" borderId="0" xfId="1" applyFont="1" applyFill="1" applyBorder="1"/>
    <xf numFmtId="169" fontId="17" fillId="5" borderId="4" xfId="1" applyNumberFormat="1" applyFont="1" applyFill="1" applyBorder="1" applyAlignment="1">
      <alignment horizontal="right"/>
    </xf>
    <xf numFmtId="169" fontId="17" fillId="5" borderId="0" xfId="1" applyNumberFormat="1" applyFont="1" applyFill="1" applyAlignment="1">
      <alignment horizontal="right"/>
    </xf>
    <xf numFmtId="180" fontId="12" fillId="2" borderId="3" xfId="1" applyNumberFormat="1" applyFont="1" applyFill="1" applyBorder="1" applyAlignment="1">
      <alignment horizontal="right"/>
    </xf>
    <xf numFmtId="167" fontId="12" fillId="2" borderId="3" xfId="1" applyNumberFormat="1" applyFont="1" applyFill="1" applyBorder="1" applyAlignment="1">
      <alignment horizontal="right"/>
    </xf>
    <xf numFmtId="167" fontId="12" fillId="2" borderId="4" xfId="1" applyNumberFormat="1" applyFont="1" applyFill="1" applyBorder="1" applyAlignment="1">
      <alignment horizontal="right"/>
    </xf>
    <xf numFmtId="167" fontId="12" fillId="2" borderId="0" xfId="1" applyNumberFormat="1" applyFont="1" applyFill="1" applyAlignment="1">
      <alignment horizontal="right"/>
    </xf>
    <xf numFmtId="180" fontId="14" fillId="2" borderId="3" xfId="1" applyNumberFormat="1" applyFont="1" applyFill="1" applyBorder="1" applyAlignment="1">
      <alignment horizontal="right"/>
    </xf>
    <xf numFmtId="170" fontId="14" fillId="2" borderId="3" xfId="1" applyNumberFormat="1" applyFont="1" applyFill="1" applyBorder="1" applyAlignment="1">
      <alignment horizontal="right"/>
    </xf>
    <xf numFmtId="170" fontId="14" fillId="2" borderId="4" xfId="1" applyNumberFormat="1" applyFont="1" applyFill="1" applyBorder="1" applyAlignment="1">
      <alignment horizontal="right"/>
    </xf>
    <xf numFmtId="170" fontId="14" fillId="2" borderId="0" xfId="1" applyNumberFormat="1" applyFont="1" applyFill="1" applyAlignment="1">
      <alignment horizontal="right"/>
    </xf>
    <xf numFmtId="180" fontId="13" fillId="3" borderId="17" xfId="1" applyNumberFormat="1" applyFont="1" applyFill="1" applyBorder="1" applyAlignment="1">
      <alignment horizontal="right"/>
    </xf>
    <xf numFmtId="167" fontId="13" fillId="3" borderId="17" xfId="1" applyNumberFormat="1" applyFont="1" applyFill="1" applyBorder="1" applyAlignment="1">
      <alignment horizontal="right"/>
    </xf>
    <xf numFmtId="167" fontId="13" fillId="3" borderId="18" xfId="1" applyNumberFormat="1" applyFont="1" applyFill="1" applyBorder="1" applyAlignment="1">
      <alignment horizontal="right"/>
    </xf>
    <xf numFmtId="167" fontId="13" fillId="3" borderId="0" xfId="1" applyNumberFormat="1" applyFont="1" applyFill="1" applyAlignment="1">
      <alignment horizontal="right"/>
    </xf>
    <xf numFmtId="180" fontId="8" fillId="2" borderId="3" xfId="1" applyNumberFormat="1" applyFont="1" applyFill="1" applyBorder="1" applyAlignment="1">
      <alignment horizontal="right"/>
    </xf>
    <xf numFmtId="167" fontId="8" fillId="2" borderId="3" xfId="1" applyNumberFormat="1" applyFont="1" applyFill="1" applyBorder="1" applyAlignment="1">
      <alignment horizontal="right"/>
    </xf>
    <xf numFmtId="167" fontId="8" fillId="2" borderId="4" xfId="1" applyNumberFormat="1" applyFont="1" applyFill="1" applyBorder="1" applyAlignment="1">
      <alignment horizontal="right"/>
    </xf>
    <xf numFmtId="173" fontId="17" fillId="2" borderId="0" xfId="1" applyNumberFormat="1" applyFont="1" applyFill="1" applyAlignment="1">
      <alignment horizontal="right"/>
    </xf>
    <xf numFmtId="0" fontId="7" fillId="2" borderId="5" xfId="1" quotePrefix="1" applyFont="1" applyFill="1" applyBorder="1" applyAlignment="1">
      <alignment horizontal="left"/>
    </xf>
    <xf numFmtId="173" fontId="14" fillId="2" borderId="6" xfId="1" applyNumberFormat="1" applyFont="1" applyFill="1" applyBorder="1" applyAlignment="1">
      <alignment horizontal="right"/>
    </xf>
    <xf numFmtId="173" fontId="14" fillId="2" borderId="7" xfId="1" applyNumberFormat="1" applyFont="1" applyFill="1" applyBorder="1" applyAlignment="1">
      <alignment horizontal="right"/>
    </xf>
    <xf numFmtId="0" fontId="10" fillId="2" borderId="0" xfId="1" applyFont="1" applyFill="1"/>
    <xf numFmtId="175" fontId="22" fillId="2" borderId="0" xfId="1" applyNumberFormat="1" applyFont="1" applyFill="1" applyAlignment="1">
      <alignment horizontal="right"/>
    </xf>
    <xf numFmtId="0" fontId="22" fillId="2" borderId="0" xfId="1" applyFont="1" applyFill="1" applyAlignment="1">
      <alignment horizontal="right"/>
    </xf>
    <xf numFmtId="0" fontId="22" fillId="0" borderId="0" xfId="0" applyFont="1"/>
    <xf numFmtId="0" fontId="15" fillId="4" borderId="15" xfId="1" quotePrefix="1" applyFont="1" applyFill="1" applyBorder="1" applyAlignment="1">
      <alignment horizontal="left"/>
    </xf>
    <xf numFmtId="0" fontId="17" fillId="4" borderId="0" xfId="1" applyFont="1" applyFill="1" applyAlignment="1">
      <alignment horizontal="right"/>
    </xf>
    <xf numFmtId="0" fontId="7" fillId="5" borderId="19" xfId="1" applyFont="1" applyFill="1" applyBorder="1"/>
    <xf numFmtId="174" fontId="17" fillId="2" borderId="3" xfId="1" applyNumberFormat="1" applyFont="1" applyFill="1" applyBorder="1" applyAlignment="1">
      <alignment horizontal="right"/>
    </xf>
    <xf numFmtId="174" fontId="17" fillId="2" borderId="4" xfId="1" applyNumberFormat="1" applyFont="1" applyFill="1" applyBorder="1" applyAlignment="1">
      <alignment horizontal="right"/>
    </xf>
    <xf numFmtId="174" fontId="17" fillId="2" borderId="0" xfId="1" applyNumberFormat="1" applyFont="1" applyFill="1" applyAlignment="1">
      <alignment horizontal="right"/>
    </xf>
    <xf numFmtId="0" fontId="14" fillId="5" borderId="19" xfId="1" quotePrefix="1" applyFont="1" applyFill="1" applyBorder="1" applyAlignment="1">
      <alignment horizontal="left"/>
    </xf>
    <xf numFmtId="174" fontId="17" fillId="5" borderId="3" xfId="1" applyNumberFormat="1" applyFont="1" applyFill="1" applyBorder="1" applyAlignment="1">
      <alignment horizontal="right"/>
    </xf>
    <xf numFmtId="174" fontId="17" fillId="5" borderId="4" xfId="1" applyNumberFormat="1" applyFont="1" applyFill="1" applyBorder="1" applyAlignment="1">
      <alignment horizontal="right"/>
    </xf>
    <xf numFmtId="174" fontId="17" fillId="5" borderId="0" xfId="1" applyNumberFormat="1" applyFont="1" applyFill="1" applyAlignment="1">
      <alignment horizontal="right"/>
    </xf>
    <xf numFmtId="174" fontId="17" fillId="2" borderId="6" xfId="1" applyNumberFormat="1" applyFont="1" applyFill="1" applyBorder="1" applyAlignment="1">
      <alignment horizontal="right"/>
    </xf>
    <xf numFmtId="174" fontId="17" fillId="2" borderId="7" xfId="1" applyNumberFormat="1" applyFont="1" applyFill="1" applyBorder="1" applyAlignment="1">
      <alignment horizontal="right"/>
    </xf>
    <xf numFmtId="174" fontId="17" fillId="4" borderId="0" xfId="1" applyNumberFormat="1" applyFont="1" applyFill="1" applyAlignment="1">
      <alignment horizontal="right"/>
    </xf>
    <xf numFmtId="174" fontId="17" fillId="2" borderId="4" xfId="1" quotePrefix="1" applyNumberFormat="1" applyFont="1" applyFill="1" applyBorder="1" applyAlignment="1">
      <alignment horizontal="right"/>
    </xf>
    <xf numFmtId="4" fontId="17" fillId="2" borderId="0" xfId="1" applyNumberFormat="1" applyFont="1" applyFill="1" applyAlignment="1">
      <alignment horizontal="right"/>
    </xf>
    <xf numFmtId="4" fontId="17" fillId="5" borderId="3" xfId="1" applyNumberFormat="1" applyFont="1" applyFill="1" applyBorder="1" applyAlignment="1">
      <alignment horizontal="right"/>
    </xf>
    <xf numFmtId="4" fontId="17" fillId="5" borderId="4" xfId="1" applyNumberFormat="1" applyFont="1" applyFill="1" applyBorder="1" applyAlignment="1">
      <alignment horizontal="right"/>
    </xf>
    <xf numFmtId="4" fontId="17" fillId="5" borderId="0" xfId="1" applyNumberFormat="1" applyFont="1" applyFill="1" applyAlignment="1">
      <alignment horizontal="right"/>
    </xf>
    <xf numFmtId="4" fontId="17" fillId="2" borderId="3" xfId="1" applyNumberFormat="1" applyFont="1" applyFill="1" applyBorder="1" applyAlignment="1">
      <alignment horizontal="right"/>
    </xf>
    <xf numFmtId="4" fontId="17" fillId="2" borderId="4" xfId="1" applyNumberFormat="1" applyFont="1" applyFill="1" applyBorder="1" applyAlignment="1">
      <alignment horizontal="right"/>
    </xf>
    <xf numFmtId="4" fontId="12" fillId="2" borderId="3" xfId="1" applyNumberFormat="1" applyFont="1" applyFill="1" applyBorder="1" applyAlignment="1">
      <alignment horizontal="right"/>
    </xf>
    <xf numFmtId="4" fontId="12" fillId="2" borderId="4" xfId="1" applyNumberFormat="1" applyFont="1" applyFill="1" applyBorder="1" applyAlignment="1">
      <alignment horizontal="right"/>
    </xf>
    <xf numFmtId="4" fontId="12" fillId="2" borderId="0" xfId="1" applyNumberFormat="1" applyFont="1" applyFill="1" applyAlignment="1">
      <alignment horizontal="right"/>
    </xf>
    <xf numFmtId="4" fontId="17" fillId="2" borderId="6" xfId="1" applyNumberFormat="1" applyFont="1" applyFill="1" applyBorder="1" applyAlignment="1">
      <alignment horizontal="right"/>
    </xf>
    <xf numFmtId="4" fontId="17" fillId="2" borderId="7" xfId="1" applyNumberFormat="1" applyFont="1" applyFill="1" applyBorder="1" applyAlignment="1">
      <alignment horizontal="right"/>
    </xf>
    <xf numFmtId="14" fontId="16" fillId="4" borderId="21" xfId="1" applyNumberFormat="1" applyFont="1" applyFill="1" applyBorder="1" applyAlignment="1">
      <alignment horizontal="right"/>
    </xf>
    <xf numFmtId="4" fontId="17" fillId="4" borderId="0" xfId="1" applyNumberFormat="1" applyFont="1" applyFill="1" applyAlignment="1">
      <alignment horizontal="right"/>
    </xf>
    <xf numFmtId="4" fontId="17" fillId="5" borderId="19" xfId="1" applyNumberFormat="1" applyFont="1" applyFill="1" applyBorder="1" applyAlignment="1">
      <alignment horizontal="right"/>
    </xf>
    <xf numFmtId="4" fontId="17" fillId="2" borderId="19" xfId="1" applyNumberFormat="1" applyFont="1" applyFill="1" applyBorder="1" applyAlignment="1">
      <alignment horizontal="right"/>
    </xf>
    <xf numFmtId="4" fontId="12" fillId="2" borderId="19" xfId="1" applyNumberFormat="1" applyFont="1" applyFill="1" applyBorder="1" applyAlignment="1">
      <alignment horizontal="right"/>
    </xf>
    <xf numFmtId="4" fontId="17" fillId="2" borderId="22" xfId="1" applyNumberFormat="1" applyFont="1" applyFill="1" applyBorder="1" applyAlignment="1">
      <alignment horizontal="right"/>
    </xf>
    <xf numFmtId="168" fontId="14" fillId="4" borderId="0" xfId="1" applyNumberFormat="1" applyFont="1" applyFill="1" applyAlignment="1">
      <alignment horizontal="right"/>
    </xf>
    <xf numFmtId="0" fontId="8" fillId="5" borderId="3" xfId="0" applyFont="1" applyFill="1" applyBorder="1"/>
    <xf numFmtId="0" fontId="8" fillId="5" borderId="4" xfId="0" applyFont="1" applyFill="1" applyBorder="1"/>
    <xf numFmtId="168" fontId="14" fillId="5" borderId="0" xfId="1" applyNumberFormat="1" applyFont="1" applyFill="1" applyAlignment="1">
      <alignment horizontal="right"/>
    </xf>
    <xf numFmtId="4" fontId="17" fillId="3" borderId="3" xfId="1" applyNumberFormat="1" applyFont="1" applyFill="1" applyBorder="1" applyAlignment="1">
      <alignment horizontal="right"/>
    </xf>
    <xf numFmtId="4" fontId="17" fillId="3" borderId="4" xfId="1" applyNumberFormat="1" applyFont="1" applyFill="1" applyBorder="1" applyAlignment="1">
      <alignment horizontal="right"/>
    </xf>
    <xf numFmtId="4" fontId="17" fillId="3" borderId="0" xfId="1" applyNumberFormat="1" applyFont="1" applyFill="1" applyAlignment="1">
      <alignment horizontal="right"/>
    </xf>
    <xf numFmtId="176" fontId="17" fillId="2" borderId="3" xfId="1" applyNumberFormat="1" applyFont="1" applyFill="1" applyBorder="1" applyAlignment="1">
      <alignment horizontal="right"/>
    </xf>
    <xf numFmtId="2" fontId="8" fillId="2" borderId="3" xfId="0" applyNumberFormat="1" applyFont="1" applyFill="1" applyBorder="1"/>
    <xf numFmtId="2" fontId="8" fillId="2" borderId="4" xfId="0" applyNumberFormat="1" applyFont="1" applyFill="1" applyBorder="1"/>
    <xf numFmtId="2" fontId="8" fillId="2" borderId="0" xfId="0" applyNumberFormat="1" applyFont="1" applyFill="1"/>
    <xf numFmtId="37" fontId="7" fillId="2" borderId="0" xfId="0" applyNumberFormat="1" applyFont="1" applyFill="1" applyAlignment="1" applyProtection="1">
      <alignment horizontal="left"/>
    </xf>
    <xf numFmtId="167" fontId="7" fillId="2" borderId="0" xfId="0" applyNumberFormat="1" applyFont="1" applyFill="1" applyAlignment="1" applyProtection="1">
      <alignment horizontal="left"/>
    </xf>
    <xf numFmtId="37" fontId="24" fillId="3" borderId="8" xfId="0" applyNumberFormat="1" applyFont="1" applyFill="1" applyBorder="1" applyAlignment="1" applyProtection="1">
      <alignment horizontal="left"/>
    </xf>
    <xf numFmtId="167" fontId="24" fillId="3" borderId="9" xfId="0" applyNumberFormat="1" applyFont="1" applyFill="1" applyBorder="1" applyAlignment="1" applyProtection="1">
      <alignment horizontal="left"/>
    </xf>
    <xf numFmtId="37" fontId="24" fillId="3" borderId="9" xfId="0" applyNumberFormat="1" applyFont="1" applyFill="1" applyBorder="1" applyAlignment="1" applyProtection="1">
      <alignment horizontal="left"/>
    </xf>
    <xf numFmtId="4" fontId="17" fillId="3" borderId="9" xfId="1" applyNumberFormat="1" applyFont="1" applyFill="1" applyBorder="1" applyAlignment="1">
      <alignment horizontal="right"/>
    </xf>
    <xf numFmtId="4" fontId="17" fillId="3" borderId="10" xfId="1" applyNumberFormat="1" applyFont="1" applyFill="1" applyBorder="1" applyAlignment="1">
      <alignment horizontal="right"/>
    </xf>
    <xf numFmtId="37" fontId="11" fillId="3" borderId="2" xfId="0" applyNumberFormat="1" applyFont="1" applyFill="1" applyBorder="1" applyAlignment="1" applyProtection="1">
      <alignment horizontal="left"/>
    </xf>
    <xf numFmtId="167" fontId="11" fillId="3" borderId="0" xfId="0" applyNumberFormat="1" applyFont="1" applyFill="1" applyBorder="1" applyAlignment="1" applyProtection="1">
      <alignment horizontal="left"/>
    </xf>
    <xf numFmtId="37" fontId="11" fillId="3" borderId="0" xfId="0" applyNumberFormat="1" applyFont="1" applyFill="1" applyBorder="1" applyAlignment="1" applyProtection="1">
      <alignment horizontal="left"/>
    </xf>
    <xf numFmtId="4" fontId="17" fillId="3" borderId="0" xfId="1" applyNumberFormat="1" applyFont="1" applyFill="1" applyBorder="1" applyAlignment="1">
      <alignment horizontal="right"/>
    </xf>
    <xf numFmtId="4" fontId="17" fillId="3" borderId="11" xfId="1" applyNumberFormat="1" applyFont="1" applyFill="1" applyBorder="1" applyAlignment="1">
      <alignment horizontal="right"/>
    </xf>
    <xf numFmtId="37" fontId="11" fillId="3" borderId="5" xfId="0" applyNumberFormat="1" applyFont="1" applyFill="1" applyBorder="1" applyAlignment="1" applyProtection="1">
      <alignment horizontal="left"/>
    </xf>
    <xf numFmtId="167" fontId="11" fillId="3" borderId="1" xfId="0" applyNumberFormat="1" applyFont="1" applyFill="1" applyBorder="1" applyAlignment="1" applyProtection="1">
      <alignment horizontal="left"/>
    </xf>
    <xf numFmtId="37" fontId="11" fillId="3" borderId="1" xfId="0" applyNumberFormat="1" applyFont="1" applyFill="1" applyBorder="1" applyAlignment="1" applyProtection="1">
      <alignment horizontal="left"/>
    </xf>
    <xf numFmtId="4" fontId="17" fillId="3" borderId="1" xfId="1" applyNumberFormat="1" applyFont="1" applyFill="1" applyBorder="1" applyAlignment="1">
      <alignment horizontal="right"/>
    </xf>
    <xf numFmtId="4" fontId="17" fillId="3" borderId="12" xfId="1" applyNumberFormat="1" applyFont="1" applyFill="1" applyBorder="1" applyAlignment="1">
      <alignment horizontal="right"/>
    </xf>
    <xf numFmtId="0" fontId="17" fillId="2" borderId="0" xfId="1" applyFont="1" applyFill="1"/>
    <xf numFmtId="167" fontId="17" fillId="2" borderId="0" xfId="1" applyNumberFormat="1" applyFont="1" applyFill="1"/>
    <xf numFmtId="0" fontId="17" fillId="2" borderId="0" xfId="1" applyFont="1" applyFill="1" applyAlignment="1">
      <alignment horizontal="right"/>
    </xf>
    <xf numFmtId="167" fontId="8" fillId="0" borderId="0" xfId="0" applyNumberFormat="1" applyFont="1" applyFill="1"/>
    <xf numFmtId="167" fontId="8" fillId="0" borderId="0" xfId="0" applyNumberFormat="1" applyFont="1"/>
    <xf numFmtId="0" fontId="25" fillId="0" borderId="0" xfId="2" applyFont="1"/>
    <xf numFmtId="167" fontId="25" fillId="0" borderId="0" xfId="2" applyNumberFormat="1" applyFont="1"/>
    <xf numFmtId="43" fontId="25" fillId="0" borderId="0" xfId="2" applyNumberFormat="1" applyFont="1" applyAlignment="1">
      <alignment horizontal="right"/>
    </xf>
    <xf numFmtId="43" fontId="26" fillId="0" borderId="0" xfId="2" applyNumberFormat="1" applyFont="1" applyAlignment="1">
      <alignment horizontal="right"/>
    </xf>
    <xf numFmtId="0" fontId="25" fillId="0" borderId="0" xfId="2" applyFont="1" applyAlignment="1">
      <alignment horizontal="right"/>
    </xf>
    <xf numFmtId="0" fontId="26" fillId="0" borderId="0" xfId="2" applyFont="1"/>
    <xf numFmtId="167" fontId="26" fillId="0" borderId="0" xfId="2" applyNumberFormat="1" applyFont="1"/>
    <xf numFmtId="4" fontId="25" fillId="0" borderId="0" xfId="2" applyNumberFormat="1" applyFont="1" applyAlignment="1">
      <alignment horizontal="right"/>
    </xf>
    <xf numFmtId="0" fontId="7" fillId="5" borderId="5" xfId="1" quotePrefix="1" applyFont="1" applyFill="1" applyBorder="1" applyAlignment="1">
      <alignment horizontal="left"/>
    </xf>
    <xf numFmtId="180" fontId="14" fillId="5" borderId="6" xfId="1" applyNumberFormat="1" applyFont="1" applyFill="1" applyBorder="1" applyAlignment="1">
      <alignment horizontal="right"/>
    </xf>
    <xf numFmtId="0" fontId="17" fillId="5" borderId="19" xfId="1" applyFont="1" applyFill="1" applyBorder="1" applyAlignment="1">
      <alignment horizontal="right"/>
    </xf>
    <xf numFmtId="179" fontId="17" fillId="2" borderId="19" xfId="1" applyNumberFormat="1" applyFont="1" applyFill="1" applyBorder="1" applyAlignment="1">
      <alignment horizontal="right"/>
    </xf>
    <xf numFmtId="179" fontId="19" fillId="2" borderId="19" xfId="1" applyNumberFormat="1" applyFont="1" applyFill="1" applyBorder="1" applyAlignment="1">
      <alignment horizontal="right"/>
    </xf>
    <xf numFmtId="179" fontId="14" fillId="3" borderId="23" xfId="1" applyNumberFormat="1" applyFont="1" applyFill="1" applyBorder="1" applyAlignment="1">
      <alignment horizontal="right"/>
    </xf>
    <xf numFmtId="172" fontId="19" fillId="2" borderId="19" xfId="1" applyNumberFormat="1" applyFont="1" applyFill="1" applyBorder="1" applyAlignment="1">
      <alignment horizontal="right"/>
    </xf>
    <xf numFmtId="169" fontId="17" fillId="5" borderId="19" xfId="1" applyNumberFormat="1" applyFont="1" applyFill="1" applyBorder="1" applyAlignment="1">
      <alignment horizontal="right"/>
    </xf>
    <xf numFmtId="180" fontId="17" fillId="2" borderId="19" xfId="1" applyNumberFormat="1" applyFont="1" applyFill="1" applyBorder="1" applyAlignment="1">
      <alignment horizontal="right"/>
    </xf>
    <xf numFmtId="1" fontId="16" fillId="4" borderId="10" xfId="1" quotePrefix="1" applyNumberFormat="1" applyFont="1" applyFill="1" applyBorder="1" applyAlignment="1">
      <alignment horizontal="right"/>
    </xf>
    <xf numFmtId="179" fontId="17" fillId="2" borderId="4" xfId="1" applyNumberFormat="1" applyFont="1" applyFill="1" applyBorder="1" applyAlignment="1">
      <alignment horizontal="right"/>
    </xf>
    <xf numFmtId="179" fontId="19" fillId="2" borderId="4" xfId="1" applyNumberFormat="1" applyFont="1" applyFill="1" applyBorder="1" applyAlignment="1">
      <alignment horizontal="right"/>
    </xf>
    <xf numFmtId="179" fontId="14" fillId="3" borderId="18" xfId="1" applyNumberFormat="1" applyFont="1" applyFill="1" applyBorder="1" applyAlignment="1">
      <alignment horizontal="right"/>
    </xf>
    <xf numFmtId="172" fontId="19" fillId="2" borderId="4" xfId="1" applyNumberFormat="1" applyFont="1" applyFill="1" applyBorder="1" applyAlignment="1">
      <alignment horizontal="right"/>
    </xf>
    <xf numFmtId="180" fontId="17" fillId="2" borderId="4" xfId="1" applyNumberFormat="1" applyFont="1" applyFill="1" applyBorder="1" applyAlignment="1">
      <alignment horizontal="right"/>
    </xf>
    <xf numFmtId="180" fontId="14" fillId="3" borderId="18" xfId="1" applyNumberFormat="1" applyFont="1" applyFill="1" applyBorder="1" applyAlignment="1">
      <alignment horizontal="right"/>
    </xf>
    <xf numFmtId="180" fontId="12" fillId="2" borderId="19" xfId="1" applyNumberFormat="1" applyFont="1" applyFill="1" applyBorder="1" applyAlignment="1">
      <alignment horizontal="right"/>
    </xf>
    <xf numFmtId="180" fontId="14" fillId="3" borderId="23" xfId="1" applyNumberFormat="1" applyFont="1" applyFill="1" applyBorder="1" applyAlignment="1">
      <alignment horizontal="right"/>
    </xf>
    <xf numFmtId="180" fontId="14" fillId="2" borderId="19" xfId="1" applyNumberFormat="1" applyFont="1" applyFill="1" applyBorder="1" applyAlignment="1">
      <alignment horizontal="right"/>
    </xf>
    <xf numFmtId="180" fontId="13" fillId="3" borderId="23" xfId="1" applyNumberFormat="1" applyFont="1" applyFill="1" applyBorder="1" applyAlignment="1">
      <alignment horizontal="right"/>
    </xf>
    <xf numFmtId="180" fontId="8" fillId="2" borderId="19" xfId="1" applyNumberFormat="1" applyFont="1" applyFill="1" applyBorder="1" applyAlignment="1">
      <alignment horizontal="right"/>
    </xf>
    <xf numFmtId="180" fontId="14" fillId="5" borderId="22" xfId="1" applyNumberFormat="1" applyFont="1" applyFill="1" applyBorder="1" applyAlignment="1">
      <alignment horizontal="right"/>
    </xf>
    <xf numFmtId="0" fontId="7" fillId="5" borderId="11" xfId="1" applyFont="1" applyFill="1" applyBorder="1"/>
    <xf numFmtId="180" fontId="12" fillId="2" borderId="4" xfId="1" applyNumberFormat="1" applyFont="1" applyFill="1" applyBorder="1" applyAlignment="1">
      <alignment horizontal="right"/>
    </xf>
    <xf numFmtId="180" fontId="14" fillId="2" borderId="4" xfId="1" applyNumberFormat="1" applyFont="1" applyFill="1" applyBorder="1" applyAlignment="1">
      <alignment horizontal="right"/>
    </xf>
    <xf numFmtId="180" fontId="13" fillId="3" borderId="18" xfId="1" applyNumberFormat="1" applyFont="1" applyFill="1" applyBorder="1" applyAlignment="1">
      <alignment horizontal="right"/>
    </xf>
    <xf numFmtId="180" fontId="8" fillId="2" borderId="4" xfId="1" applyNumberFormat="1" applyFont="1" applyFill="1" applyBorder="1" applyAlignment="1">
      <alignment horizontal="right"/>
    </xf>
    <xf numFmtId="180" fontId="14" fillId="5" borderId="7" xfId="1" applyNumberFormat="1" applyFont="1" applyFill="1" applyBorder="1" applyAlignment="1">
      <alignment horizontal="right"/>
    </xf>
    <xf numFmtId="174" fontId="17" fillId="2" borderId="19" xfId="1" applyNumberFormat="1" applyFont="1" applyFill="1" applyBorder="1" applyAlignment="1">
      <alignment horizontal="right"/>
    </xf>
    <xf numFmtId="174" fontId="17" fillId="5" borderId="19" xfId="1" applyNumberFormat="1" applyFont="1" applyFill="1" applyBorder="1" applyAlignment="1">
      <alignment horizontal="right"/>
    </xf>
    <xf numFmtId="174" fontId="17" fillId="2" borderId="22" xfId="1" applyNumberFormat="1" applyFont="1" applyFill="1" applyBorder="1" applyAlignment="1">
      <alignment horizontal="right"/>
    </xf>
    <xf numFmtId="0" fontId="14" fillId="5" borderId="11" xfId="1" quotePrefix="1" applyFont="1" applyFill="1" applyBorder="1" applyAlignment="1">
      <alignment horizontal="left"/>
    </xf>
    <xf numFmtId="4" fontId="17" fillId="5" borderId="11" xfId="1" applyNumberFormat="1" applyFont="1" applyFill="1" applyBorder="1" applyAlignment="1">
      <alignment horizontal="right"/>
    </xf>
    <xf numFmtId="4" fontId="17" fillId="2" borderId="11" xfId="1" applyNumberFormat="1" applyFont="1" applyFill="1" applyBorder="1" applyAlignment="1">
      <alignment horizontal="right"/>
    </xf>
    <xf numFmtId="4" fontId="12" fillId="2" borderId="11" xfId="1" applyNumberFormat="1" applyFont="1" applyFill="1" applyBorder="1" applyAlignment="1">
      <alignment horizontal="right"/>
    </xf>
    <xf numFmtId="4" fontId="17" fillId="2" borderId="12" xfId="1" applyNumberFormat="1" applyFont="1" applyFill="1" applyBorder="1" applyAlignment="1">
      <alignment horizontal="right"/>
    </xf>
    <xf numFmtId="10" fontId="17" fillId="2" borderId="0" xfId="3" applyNumberFormat="1" applyFont="1" applyFill="1"/>
    <xf numFmtId="177" fontId="17" fillId="2" borderId="0" xfId="3" applyNumberFormat="1" applyFont="1" applyFill="1"/>
    <xf numFmtId="177" fontId="8" fillId="2" borderId="3" xfId="0" applyNumberFormat="1" applyFont="1" applyFill="1" applyBorder="1"/>
    <xf numFmtId="177" fontId="17" fillId="2" borderId="3" xfId="1" applyNumberFormat="1" applyFont="1" applyFill="1" applyBorder="1" applyAlignment="1">
      <alignment horizontal="right"/>
    </xf>
    <xf numFmtId="177" fontId="8" fillId="2" borderId="19" xfId="0" applyNumberFormat="1" applyFont="1" applyFill="1" applyBorder="1"/>
    <xf numFmtId="176" fontId="17" fillId="2" borderId="19" xfId="1" applyNumberFormat="1" applyFont="1" applyFill="1" applyBorder="1" applyAlignment="1">
      <alignment horizontal="right"/>
    </xf>
    <xf numFmtId="0" fontId="8" fillId="5" borderId="19" xfId="0" applyFont="1" applyFill="1" applyBorder="1"/>
    <xf numFmtId="4" fontId="17" fillId="3" borderId="19" xfId="1" applyNumberFormat="1" applyFont="1" applyFill="1" applyBorder="1" applyAlignment="1">
      <alignment horizontal="right"/>
    </xf>
    <xf numFmtId="2" fontId="8" fillId="2" borderId="19" xfId="0" applyNumberFormat="1" applyFont="1" applyFill="1" applyBorder="1"/>
    <xf numFmtId="176" fontId="17" fillId="2" borderId="4" xfId="1" applyNumberFormat="1" applyFont="1" applyFill="1" applyBorder="1" applyAlignment="1">
      <alignment horizontal="right"/>
    </xf>
    <xf numFmtId="9" fontId="17" fillId="2" borderId="3" xfId="1" applyNumberFormat="1" applyFont="1" applyFill="1" applyBorder="1" applyAlignment="1">
      <alignment horizontal="right"/>
    </xf>
    <xf numFmtId="9" fontId="17" fillId="2" borderId="19" xfId="1" applyNumberFormat="1" applyFont="1" applyFill="1" applyBorder="1" applyAlignment="1">
      <alignment horizontal="right"/>
    </xf>
    <xf numFmtId="177" fontId="17" fillId="2" borderId="19" xfId="1" applyNumberFormat="1" applyFont="1" applyFill="1" applyBorder="1" applyAlignment="1">
      <alignment horizontal="right"/>
    </xf>
    <xf numFmtId="37" fontId="7" fillId="3" borderId="5" xfId="0" applyNumberFormat="1" applyFont="1" applyFill="1" applyBorder="1" applyAlignment="1" applyProtection="1">
      <alignment horizontal="left"/>
    </xf>
    <xf numFmtId="1" fontId="16" fillId="4" borderId="13" xfId="1" quotePrefix="1" applyNumberFormat="1" applyFont="1" applyFill="1" applyBorder="1" applyAlignment="1">
      <alignment horizontal="right"/>
    </xf>
    <xf numFmtId="1" fontId="16" fillId="4" borderId="14" xfId="1" quotePrefix="1" applyNumberFormat="1" applyFont="1" applyFill="1" applyBorder="1" applyAlignment="1">
      <alignment horizontal="right"/>
    </xf>
    <xf numFmtId="0" fontId="7" fillId="5" borderId="3" xfId="1" applyFont="1" applyFill="1" applyBorder="1"/>
    <xf numFmtId="37" fontId="7" fillId="3" borderId="3" xfId="0" applyNumberFormat="1" applyFont="1" applyFill="1" applyBorder="1" applyAlignment="1" applyProtection="1">
      <alignment horizontal="left"/>
    </xf>
    <xf numFmtId="2" fontId="8" fillId="0" borderId="3" xfId="0" applyNumberFormat="1" applyFont="1" applyFill="1" applyBorder="1"/>
    <xf numFmtId="183" fontId="8" fillId="0" borderId="3" xfId="0" applyNumberFormat="1" applyFont="1" applyFill="1" applyBorder="1"/>
    <xf numFmtId="37" fontId="7" fillId="2" borderId="2" xfId="0" applyNumberFormat="1" applyFont="1" applyFill="1" applyBorder="1" applyAlignment="1" applyProtection="1">
      <alignment horizontal="left"/>
    </xf>
    <xf numFmtId="37" fontId="7" fillId="2" borderId="2" xfId="0" quotePrefix="1" applyNumberFormat="1" applyFont="1" applyFill="1" applyBorder="1" applyAlignment="1" applyProtection="1">
      <alignment horizontal="left"/>
    </xf>
    <xf numFmtId="37" fontId="7" fillId="2" borderId="5" xfId="0" quotePrefix="1" applyNumberFormat="1" applyFont="1" applyFill="1" applyBorder="1" applyAlignment="1" applyProtection="1">
      <alignment horizontal="left"/>
    </xf>
    <xf numFmtId="0" fontId="7" fillId="5" borderId="4" xfId="1" applyFont="1" applyFill="1" applyBorder="1"/>
    <xf numFmtId="37" fontId="7" fillId="3" borderId="4" xfId="0" applyNumberFormat="1" applyFont="1" applyFill="1" applyBorder="1" applyAlignment="1" applyProtection="1">
      <alignment horizontal="left"/>
    </xf>
    <xf numFmtId="2" fontId="8" fillId="0" borderId="4" xfId="0" applyNumberFormat="1" applyFont="1" applyFill="1" applyBorder="1"/>
    <xf numFmtId="183" fontId="8" fillId="0" borderId="4" xfId="0" applyNumberFormat="1" applyFont="1" applyFill="1" applyBorder="1"/>
    <xf numFmtId="183" fontId="8" fillId="0" borderId="4" xfId="0" applyNumberFormat="1" applyFont="1" applyFill="1" applyBorder="1" applyAlignment="1">
      <alignment horizontal="right"/>
    </xf>
    <xf numFmtId="2" fontId="8" fillId="0" borderId="6" xfId="0" applyNumberFormat="1" applyFont="1" applyFill="1" applyBorder="1"/>
    <xf numFmtId="37" fontId="24" fillId="3" borderId="10" xfId="0" applyNumberFormat="1" applyFont="1" applyFill="1" applyBorder="1" applyAlignment="1" applyProtection="1">
      <alignment horizontal="left"/>
    </xf>
    <xf numFmtId="37" fontId="11" fillId="3" borderId="11" xfId="0" applyNumberFormat="1" applyFont="1" applyFill="1" applyBorder="1" applyAlignment="1" applyProtection="1">
      <alignment horizontal="left"/>
    </xf>
    <xf numFmtId="37" fontId="11" fillId="3" borderId="12" xfId="0" applyNumberFormat="1" applyFont="1" applyFill="1" applyBorder="1" applyAlignment="1" applyProtection="1">
      <alignment horizontal="left"/>
    </xf>
    <xf numFmtId="2" fontId="8" fillId="0" borderId="4" xfId="0" applyNumberFormat="1" applyFont="1" applyFill="1" applyBorder="1" applyAlignment="1">
      <alignment horizontal="right"/>
    </xf>
    <xf numFmtId="2" fontId="8" fillId="0" borderId="7" xfId="0" applyNumberFormat="1" applyFont="1" applyFill="1" applyBorder="1" applyAlignment="1">
      <alignment horizontal="right"/>
    </xf>
    <xf numFmtId="0" fontId="15" fillId="4" borderId="9" xfId="1" quotePrefix="1" applyFont="1" applyFill="1" applyBorder="1" applyAlignment="1">
      <alignment horizontal="left"/>
    </xf>
    <xf numFmtId="0" fontId="14" fillId="5" borderId="0" xfId="1" applyFont="1" applyFill="1" applyBorder="1"/>
    <xf numFmtId="0" fontId="14" fillId="2" borderId="0" xfId="1" quotePrefix="1" applyFont="1" applyFill="1" applyBorder="1" applyAlignment="1">
      <alignment horizontal="left"/>
    </xf>
    <xf numFmtId="0" fontId="14" fillId="2" borderId="0" xfId="0" applyFont="1" applyFill="1" applyBorder="1"/>
    <xf numFmtId="0" fontId="18" fillId="2" borderId="0" xfId="1" quotePrefix="1" applyFont="1" applyFill="1" applyBorder="1" applyAlignment="1">
      <alignment horizontal="left"/>
    </xf>
    <xf numFmtId="0" fontId="7" fillId="2" borderId="0" xfId="1" quotePrefix="1" applyFont="1" applyFill="1" applyBorder="1" applyAlignment="1">
      <alignment horizontal="left"/>
    </xf>
    <xf numFmtId="0" fontId="7" fillId="3" borderId="20" xfId="1" quotePrefix="1" applyFont="1" applyFill="1" applyBorder="1" applyAlignment="1">
      <alignment horizontal="left"/>
    </xf>
    <xf numFmtId="0" fontId="20" fillId="2" borderId="0" xfId="1" quotePrefix="1" applyFont="1" applyFill="1" applyBorder="1" applyAlignment="1">
      <alignment horizontal="left"/>
    </xf>
    <xf numFmtId="0" fontId="7" fillId="2" borderId="0" xfId="1" applyFont="1" applyFill="1" applyBorder="1"/>
    <xf numFmtId="0" fontId="7" fillId="5" borderId="1" xfId="1" quotePrefix="1" applyFont="1" applyFill="1" applyBorder="1" applyAlignment="1">
      <alignment horizontal="left"/>
    </xf>
    <xf numFmtId="0" fontId="14" fillId="2" borderId="19" xfId="1" quotePrefix="1" applyFont="1" applyFill="1" applyBorder="1" applyAlignment="1">
      <alignment horizontal="left"/>
    </xf>
    <xf numFmtId="0" fontId="14" fillId="2" borderId="22" xfId="1" quotePrefix="1" applyFont="1" applyFill="1" applyBorder="1" applyAlignment="1">
      <alignment horizontal="left"/>
    </xf>
    <xf numFmtId="0" fontId="7" fillId="2" borderId="19" xfId="1" quotePrefix="1" applyFont="1" applyFill="1" applyBorder="1" applyAlignment="1">
      <alignment horizontal="left"/>
    </xf>
    <xf numFmtId="0" fontId="7" fillId="2" borderId="22" xfId="1" quotePrefix="1" applyFont="1" applyFill="1" applyBorder="1" applyAlignment="1">
      <alignment horizontal="left"/>
    </xf>
    <xf numFmtId="0" fontId="7" fillId="2" borderId="1" xfId="1" quotePrefix="1" applyFont="1" applyFill="1" applyBorder="1" applyAlignment="1">
      <alignment horizontal="left"/>
    </xf>
    <xf numFmtId="37" fontId="7" fillId="3" borderId="0" xfId="0" applyNumberFormat="1" applyFont="1" applyFill="1" applyBorder="1" applyAlignment="1" applyProtection="1">
      <alignment horizontal="left"/>
    </xf>
    <xf numFmtId="37" fontId="7" fillId="2" borderId="0" xfId="0" applyNumberFormat="1" applyFont="1" applyFill="1" applyBorder="1" applyAlignment="1" applyProtection="1">
      <alignment horizontal="left"/>
    </xf>
    <xf numFmtId="37" fontId="7" fillId="2" borderId="0" xfId="0" quotePrefix="1" applyNumberFormat="1" applyFont="1" applyFill="1" applyBorder="1" applyAlignment="1" applyProtection="1">
      <alignment horizontal="left"/>
    </xf>
    <xf numFmtId="37" fontId="7" fillId="2" borderId="1" xfId="0" quotePrefix="1" applyNumberFormat="1" applyFont="1" applyFill="1" applyBorder="1" applyAlignment="1" applyProtection="1">
      <alignment horizontal="left"/>
    </xf>
    <xf numFmtId="0" fontId="14" fillId="5" borderId="2" xfId="1" quotePrefix="1" applyFont="1" applyFill="1" applyBorder="1" applyAlignment="1">
      <alignment horizontal="left"/>
    </xf>
    <xf numFmtId="0" fontId="14" fillId="2" borderId="5" xfId="1" quotePrefix="1" applyFont="1" applyFill="1" applyBorder="1" applyAlignment="1">
      <alignment horizontal="left"/>
    </xf>
    <xf numFmtId="179" fontId="9" fillId="2" borderId="3" xfId="1" applyNumberFormat="1" applyFont="1" applyFill="1" applyBorder="1" applyAlignment="1">
      <alignment horizontal="right"/>
    </xf>
    <xf numFmtId="0" fontId="11" fillId="2" borderId="0" xfId="0" applyFont="1" applyFill="1"/>
    <xf numFmtId="175" fontId="8" fillId="2" borderId="0" xfId="0" applyNumberFormat="1" applyFont="1" applyFill="1"/>
    <xf numFmtId="0" fontId="22" fillId="2" borderId="0" xfId="0" applyFont="1" applyFill="1"/>
    <xf numFmtId="4" fontId="8" fillId="2" borderId="0" xfId="0" applyNumberFormat="1" applyFont="1" applyFill="1"/>
    <xf numFmtId="166" fontId="27" fillId="2" borderId="0" xfId="1" applyNumberFormat="1" applyFont="1" applyFill="1"/>
  </cellXfs>
  <cellStyles count="76">
    <cellStyle name="Lien hypertexte" xfId="4" builtinId="8" hidden="1"/>
    <cellStyle name="Lien hypertexte" xfId="6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 visité" xfId="5" builtinId="9" hidden="1"/>
    <cellStyle name="Lien hypertexte visité" xfId="7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Monétaire 2" xfId="8" xr:uid="{00000000-0005-0000-0000-000047000000}"/>
    <cellStyle name="Normal" xfId="0" builtinId="0"/>
    <cellStyle name="Normal 2 2" xfId="51" xr:uid="{00000000-0005-0000-0000-000049000000}"/>
    <cellStyle name="Normal_MODEL_DDB" xfId="1" xr:uid="{00000000-0005-0000-0000-00004A000000}"/>
    <cellStyle name="Normal_SEK" xfId="2" xr:uid="{00000000-0005-0000-0000-00004C000000}"/>
    <cellStyle name="Pourcentag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1485900</xdr:colOff>
          <xdr:row>0</xdr:row>
          <xdr:rowOff>0</xdr:rowOff>
        </xdr:to>
        <xdr:sp macro="" textlink="">
          <xdr:nvSpPr>
            <xdr:cNvPr id="1168" name="LBL_UPDATED_GRAPHS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I248"/>
  <sheetViews>
    <sheetView showGridLines="0" tabSelected="1" zoomScale="80" zoomScaleNormal="80" workbookViewId="0">
      <selection activeCell="B16" sqref="B16"/>
    </sheetView>
  </sheetViews>
  <sheetFormatPr baseColWidth="10" defaultColWidth="10" defaultRowHeight="15.75"/>
  <cols>
    <col min="1" max="1" width="76.6640625" style="1" customWidth="1"/>
    <col min="2" max="2" width="22.1640625" style="1" customWidth="1"/>
    <col min="3" max="4" width="16.83203125" style="1" customWidth="1"/>
    <col min="5" max="5" width="16.83203125" style="146" customWidth="1"/>
    <col min="6" max="9" width="16.83203125" style="1" customWidth="1"/>
    <col min="10" max="10" width="17.33203125" style="1" hidden="1" customWidth="1"/>
    <col min="11" max="11" width="24.5" style="1" hidden="1" customWidth="1"/>
    <col min="12" max="12" width="23.5" style="1" hidden="1" customWidth="1"/>
    <col min="13" max="13" width="24" style="1" hidden="1" customWidth="1"/>
    <col min="14" max="14" width="26.6640625" style="1" hidden="1" customWidth="1"/>
    <col min="15" max="15" width="15.5" style="1" hidden="1" customWidth="1"/>
    <col min="16" max="16" width="22.5" style="1" hidden="1" customWidth="1"/>
    <col min="17" max="17" width="24.33203125" style="1" hidden="1" customWidth="1"/>
    <col min="18" max="18" width="10.6640625" style="10" bestFit="1" customWidth="1"/>
    <col min="19" max="19" width="10" style="10"/>
    <col min="20" max="20" width="18.5" style="10" customWidth="1"/>
    <col min="21" max="21" width="10" style="10"/>
    <col min="22" max="22" width="19.6640625" style="10" bestFit="1" customWidth="1"/>
    <col min="23" max="23" width="19.5" style="10" customWidth="1"/>
    <col min="24" max="61" width="10" style="10"/>
    <col min="62" max="16384" width="10" style="1"/>
  </cols>
  <sheetData>
    <row r="1" spans="1:61" ht="18.75">
      <c r="A1" s="251" t="s">
        <v>93</v>
      </c>
      <c r="B1" s="5"/>
      <c r="C1" s="5"/>
      <c r="D1" s="5"/>
      <c r="E1" s="6"/>
      <c r="F1" s="5"/>
      <c r="G1" s="5"/>
      <c r="H1" s="5"/>
      <c r="I1" s="5"/>
      <c r="J1" s="7"/>
      <c r="K1" s="7"/>
      <c r="L1" s="7"/>
      <c r="M1" s="7"/>
      <c r="N1" s="7"/>
      <c r="O1" s="7"/>
      <c r="P1" s="7"/>
      <c r="Q1" s="7"/>
    </row>
    <row r="2" spans="1:61">
      <c r="A2" s="9"/>
      <c r="B2" s="9"/>
      <c r="C2" s="9"/>
      <c r="D2" s="9"/>
      <c r="E2" s="6"/>
      <c r="F2" s="9"/>
      <c r="G2" s="9"/>
      <c r="H2" s="9"/>
      <c r="I2" s="9"/>
      <c r="J2" s="10"/>
      <c r="K2" s="10"/>
      <c r="L2" s="10"/>
      <c r="M2" s="10"/>
      <c r="N2" s="10"/>
      <c r="O2" s="11" t="e">
        <f>#REF!</f>
        <v>#REF!</v>
      </c>
      <c r="P2" s="11" t="e">
        <f>#REF!</f>
        <v>#REF!</v>
      </c>
      <c r="Q2" s="11" t="e">
        <f>#REF!</f>
        <v>#REF!</v>
      </c>
    </row>
    <row r="3" spans="1:61" s="17" customFormat="1">
      <c r="A3" s="12" t="s">
        <v>80</v>
      </c>
      <c r="B3" s="225"/>
      <c r="C3" s="13">
        <v>2020</v>
      </c>
      <c r="D3" s="13">
        <v>2019</v>
      </c>
      <c r="E3" s="13">
        <v>2018</v>
      </c>
      <c r="F3" s="13">
        <v>2017</v>
      </c>
      <c r="G3" s="13">
        <v>2016</v>
      </c>
      <c r="H3" s="13">
        <v>2015</v>
      </c>
      <c r="I3" s="164">
        <v>2014</v>
      </c>
      <c r="J3" s="13">
        <v>2013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5" t="e">
        <f>#REF!</f>
        <v>#REF!</v>
      </c>
      <c r="O3" s="16"/>
      <c r="P3" s="16"/>
      <c r="Q3" s="16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</row>
    <row r="4" spans="1:61" s="3" customFormat="1">
      <c r="A4" s="18"/>
      <c r="B4" s="226"/>
      <c r="C4" s="19"/>
      <c r="D4" s="19"/>
      <c r="E4" s="19"/>
      <c r="F4" s="19"/>
      <c r="G4" s="19"/>
      <c r="H4" s="19"/>
      <c r="I4" s="20"/>
      <c r="J4" s="157"/>
      <c r="K4" s="19"/>
      <c r="L4" s="19"/>
      <c r="M4" s="19"/>
      <c r="N4" s="20"/>
      <c r="O4" s="21"/>
      <c r="P4" s="21"/>
      <c r="Q4" s="21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</row>
    <row r="5" spans="1:61">
      <c r="A5" s="22" t="s">
        <v>1</v>
      </c>
      <c r="B5" s="227"/>
      <c r="C5" s="23">
        <v>6399</v>
      </c>
      <c r="D5" s="23">
        <v>4607</v>
      </c>
      <c r="E5" s="23">
        <v>1487</v>
      </c>
      <c r="F5" s="23">
        <v>3640.9288430000001</v>
      </c>
      <c r="G5" s="23">
        <v>1384</v>
      </c>
      <c r="H5" s="23">
        <v>1407</v>
      </c>
      <c r="I5" s="165">
        <v>2500</v>
      </c>
      <c r="J5" s="158" t="e">
        <f>+#REF!</f>
        <v>#REF!</v>
      </c>
      <c r="K5" s="24" t="e">
        <f>#REF!+#REF!+#REF!+#REF!+#REF!+#REF!+#REF!+#REF!+#REF!+#REF!+#REF!+#REF!</f>
        <v>#REF!</v>
      </c>
      <c r="L5" s="24" t="e">
        <f>#REF!+#REF!+#REF!+#REF!+#REF!+#REF!+#REF!+#REF!+#REF!+#REF!+#REF!+#REF!</f>
        <v>#REF!</v>
      </c>
      <c r="M5" s="24" t="e">
        <f>#REF!+#REF!+#REF!+#REF!+#REF!+#REF!+#REF!+#REF!+#REF!+#REF!+#REF!+#REF!</f>
        <v>#REF!</v>
      </c>
      <c r="N5" s="25" t="e">
        <f>#REF!+#REF!+#REF!+#REF!+#REF!+#REF!+#REF!+#REF!+#REF!+#REF!+#REF!+#REF!</f>
        <v>#REF!</v>
      </c>
      <c r="O5" s="26" t="e">
        <f>#REF!+#REF!+#REF!+#REF!+#REF!+#REF!+#REF!+#REF!+#REF!+#REF!+#REF!+#REF!</f>
        <v>#REF!</v>
      </c>
      <c r="P5" s="26" t="e">
        <f>#REF!+#REF!+#REF!+#REF!+#REF!+#REF!+#REF!+#REF!+#REF!+#REF!+#REF!+#REF!</f>
        <v>#REF!</v>
      </c>
      <c r="Q5" s="26" t="e">
        <f>#REF!+#REF!+#REF!+#REF!+#REF!+#REF!+#REF!+#REF!+#REF!+#REF!+#REF!+#REF!</f>
        <v>#REF!</v>
      </c>
    </row>
    <row r="6" spans="1:61">
      <c r="A6" s="22" t="s">
        <v>2</v>
      </c>
      <c r="B6" s="227"/>
      <c r="C6" s="23">
        <v>11962</v>
      </c>
      <c r="D6" s="23">
        <v>22979</v>
      </c>
      <c r="E6" s="23">
        <v>13831</v>
      </c>
      <c r="F6" s="23">
        <v>12995.399302000002</v>
      </c>
      <c r="G6" s="23">
        <v>19540</v>
      </c>
      <c r="H6" s="23">
        <v>13916</v>
      </c>
      <c r="I6" s="165">
        <v>16134</v>
      </c>
      <c r="J6" s="158" t="e">
        <f>+#REF!</f>
        <v>#REF!</v>
      </c>
      <c r="K6" s="24" t="e">
        <f>#REF!+#REF!+#REF!+#REF!+#REF!+#REF!+#REF!+#REF!+#REF!+#REF!+#REF!+#REF!+#REF!+#REF!+#REF!+#REF!+#REF!+#REF!+#REF!+#REF!</f>
        <v>#REF!</v>
      </c>
      <c r="L6" s="24" t="e">
        <f>#REF!+#REF!+#REF!+#REF!+#REF!+#REF!+#REF!+#REF!+#REF!+#REF!+#REF!+#REF!+#REF!+#REF!+#REF!+#REF!+#REF!+#REF!+#REF!+#REF!</f>
        <v>#REF!</v>
      </c>
      <c r="M6" s="24" t="e">
        <f>#REF!+#REF!+#REF!+#REF!+#REF!+#REF!+#REF!+#REF!+#REF!+#REF!+#REF!+#REF!+#REF!+#REF!+#REF!+#REF!+#REF!+#REF!+#REF!+#REF!</f>
        <v>#REF!</v>
      </c>
      <c r="N6" s="25" t="e">
        <f>#REF!+#REF!+#REF!+#REF!+#REF!+#REF!+#REF!+#REF!+#REF!+#REF!+#REF!+#REF!+#REF!+#REF!+#REF!+#REF!+#REF!+#REF!+#REF!+#REF!</f>
        <v>#REF!</v>
      </c>
      <c r="O6" s="26" t="e">
        <f>#REF!+#REF!+#REF!+#REF!+#REF!+#REF!+#REF!+#REF!+#REF!+#REF!+#REF!+#REF!+#REF!+#REF!+#REF!+#REF!+#REF!+#REF!+#REF!+#REF!</f>
        <v>#REF!</v>
      </c>
      <c r="P6" s="26" t="e">
        <f>#REF!+#REF!+#REF!+#REF!+#REF!+#REF!+#REF!+#REF!+#REF!+#REF!+#REF!+#REF!+#REF!+#REF!+#REF!+#REF!+#REF!+#REF!+#REF!+#REF!</f>
        <v>#REF!</v>
      </c>
      <c r="Q6" s="26" t="e">
        <f>#REF!+#REF!+#REF!+#REF!+#REF!+#REF!+#REF!+#REF!+#REF!+#REF!+#REF!+#REF!+#REF!+#REF!+#REF!+#REF!+#REF!+#REF!+#REF!+#REF!</f>
        <v>#REF!</v>
      </c>
    </row>
    <row r="7" spans="1:61">
      <c r="A7" s="27" t="s">
        <v>3</v>
      </c>
      <c r="B7" s="228"/>
      <c r="C7" s="23">
        <v>32772</v>
      </c>
      <c r="D7" s="23">
        <v>22866</v>
      </c>
      <c r="E7" s="23">
        <v>25682</v>
      </c>
      <c r="F7" s="23">
        <v>26664.689913999999</v>
      </c>
      <c r="G7" s="23">
        <v>13503</v>
      </c>
      <c r="H7" s="23">
        <v>19640</v>
      </c>
      <c r="I7" s="165">
        <v>33883</v>
      </c>
      <c r="J7" s="158" t="e">
        <f>+#REF!</f>
        <v>#REF!</v>
      </c>
      <c r="K7" s="24" t="e">
        <f>SUM(#REF!)-#REF!</f>
        <v>#REF!</v>
      </c>
      <c r="L7" s="24" t="e">
        <f>SUM(#REF!)-#REF!</f>
        <v>#REF!</v>
      </c>
      <c r="M7" s="24" t="e">
        <f>SUM(#REF!)-#REF!</f>
        <v>#REF!</v>
      </c>
      <c r="N7" s="25" t="e">
        <f>SUM(#REF!)-#REF!</f>
        <v>#REF!</v>
      </c>
      <c r="O7" s="26" t="e">
        <f>SUM(#REF!)-#REF!</f>
        <v>#REF!</v>
      </c>
      <c r="P7" s="26" t="e">
        <f>SUM(#REF!)-#REF!</f>
        <v>#REF!</v>
      </c>
      <c r="Q7" s="26" t="e">
        <f>SUM(#REF!)-#REF!</f>
        <v>#REF!</v>
      </c>
    </row>
    <row r="8" spans="1:61">
      <c r="A8" s="27" t="s">
        <v>4</v>
      </c>
      <c r="B8" s="228"/>
      <c r="C8" s="23"/>
      <c r="D8" s="23"/>
      <c r="E8" s="23"/>
      <c r="F8" s="23"/>
      <c r="G8" s="23"/>
      <c r="H8" s="23"/>
      <c r="I8" s="165"/>
      <c r="J8" s="158"/>
      <c r="K8" s="28" t="e">
        <f>#REF!</f>
        <v>#REF!</v>
      </c>
      <c r="L8" s="28" t="e">
        <f>#REF!</f>
        <v>#REF!</v>
      </c>
      <c r="M8" s="28" t="e">
        <f>#REF!</f>
        <v>#REF!</v>
      </c>
      <c r="N8" s="25" t="e">
        <f>#REF!</f>
        <v>#REF!</v>
      </c>
      <c r="O8" s="26" t="e">
        <f>#REF!</f>
        <v>#REF!</v>
      </c>
      <c r="P8" s="26" t="e">
        <f>#REF!</f>
        <v>#REF!</v>
      </c>
      <c r="Q8" s="26" t="e">
        <f>#REF!</f>
        <v>#REF!</v>
      </c>
    </row>
    <row r="9" spans="1:61">
      <c r="A9" s="22" t="s">
        <v>5</v>
      </c>
      <c r="B9" s="227"/>
      <c r="C9" s="23">
        <v>390496</v>
      </c>
      <c r="D9" s="23">
        <v>361673</v>
      </c>
      <c r="E9" s="23">
        <v>328417.37400000001</v>
      </c>
      <c r="F9" s="23">
        <v>300205.11040000001</v>
      </c>
      <c r="G9" s="23">
        <v>281767.59000000003</v>
      </c>
      <c r="H9" s="23">
        <v>241972.01</v>
      </c>
      <c r="I9" s="165"/>
      <c r="J9" s="158"/>
      <c r="K9" s="24" t="e">
        <f>#REF!+#REF!-SUM(#REF!,#REF!,#REF!,#REF!,#REF!,#REF!,#REF!,#REF!)-SUM(#REF!,#REF!,#REF!,#REF!,#REF!,#REF!,#REF!,#REF!,#REF!,#REF!,#REF!,#REF!)-#REF!-#REF!</f>
        <v>#REF!</v>
      </c>
      <c r="L9" s="24" t="e">
        <f>#REF!+#REF!-SUM(#REF!,#REF!,#REF!,#REF!,#REF!,#REF!,#REF!,#REF!)-SUM(#REF!,#REF!,#REF!,#REF!,#REF!,#REF!,#REF!,#REF!,#REF!,#REF!,#REF!,#REF!)-#REF!-#REF!</f>
        <v>#REF!</v>
      </c>
      <c r="M9" s="24" t="e">
        <f>#REF!+#REF!-SUM(#REF!,#REF!,#REF!,#REF!,#REF!,#REF!,#REF!,#REF!)-SUM(#REF!,#REF!,#REF!,#REF!,#REF!,#REF!,#REF!,#REF!,#REF!,#REF!,#REF!,#REF!)-#REF!-#REF!</f>
        <v>#REF!</v>
      </c>
      <c r="N9" s="25" t="e">
        <f>#REF!+#REF!-SUM(#REF!,#REF!,#REF!,#REF!,#REF!,#REF!,#REF!,#REF!)-SUM(#REF!,#REF!,#REF!,#REF!,#REF!,#REF!,#REF!,#REF!,#REF!,#REF!,#REF!,#REF!)-#REF!-#REF!</f>
        <v>#REF!</v>
      </c>
      <c r="O9" s="26" t="e">
        <f>#REF!+#REF!-SUM(#REF!,#REF!,#REF!,#REF!,#REF!,#REF!,#REF!,#REF!)-SUM(#REF!,#REF!,#REF!,#REF!,#REF!,#REF!,#REF!,#REF!,#REF!,#REF!,#REF!,#REF!)-#REF!-#REF!</f>
        <v>#REF!</v>
      </c>
      <c r="P9" s="26" t="e">
        <f>#REF!+#REF!-SUM(#REF!,#REF!,#REF!,#REF!,#REF!,#REF!,#REF!,#REF!)-SUM(#REF!,#REF!,#REF!,#REF!,#REF!,#REF!,#REF!,#REF!,#REF!,#REF!,#REF!,#REF!)-#REF!-#REF!</f>
        <v>#REF!</v>
      </c>
      <c r="Q9" s="26" t="e">
        <f>#REF!+#REF!-SUM(#REF!,#REF!,#REF!,#REF!,#REF!,#REF!,#REF!,#REF!)-SUM(#REF!,#REF!,#REF!,#REF!,#REF!,#REF!,#REF!,#REF!,#REF!,#REF!,#REF!,#REF!)-#REF!-#REF!</f>
        <v>#REF!</v>
      </c>
    </row>
    <row r="10" spans="1:61" s="4" customFormat="1">
      <c r="A10" s="29" t="s">
        <v>64</v>
      </c>
      <c r="B10" s="229"/>
      <c r="C10" s="246">
        <v>25594</v>
      </c>
      <c r="D10" s="246">
        <v>24449</v>
      </c>
      <c r="E10" s="30">
        <v>-22457.163</v>
      </c>
      <c r="F10" s="30">
        <v>-21747.804</v>
      </c>
      <c r="G10" s="30">
        <v>-21604.263999999999</v>
      </c>
      <c r="H10" s="30">
        <v>-23131.491999999998</v>
      </c>
      <c r="I10" s="166"/>
      <c r="J10" s="159"/>
      <c r="K10" s="31" t="e">
        <f>#REF!+#REF!-#REF!</f>
        <v>#REF!</v>
      </c>
      <c r="L10" s="31" t="e">
        <f>#REF!+#REF!-#REF!</f>
        <v>#REF!</v>
      </c>
      <c r="M10" s="31" t="e">
        <f>#REF!+#REF!-#REF!</f>
        <v>#REF!</v>
      </c>
      <c r="N10" s="32" t="e">
        <f>#REF!+#REF!-#REF!</f>
        <v>#REF!</v>
      </c>
      <c r="O10" s="33" t="e">
        <f>#REF!+#REF!-#REF!</f>
        <v>#REF!</v>
      </c>
      <c r="P10" s="33" t="e">
        <f>#REF!+#REF!-#REF!</f>
        <v>#REF!</v>
      </c>
      <c r="Q10" s="33" t="e">
        <f>#REF!+#REF!-#REF!</f>
        <v>#REF!</v>
      </c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7"/>
      <c r="BG10" s="247"/>
      <c r="BH10" s="247"/>
      <c r="BI10" s="247"/>
    </row>
    <row r="11" spans="1:61">
      <c r="A11" s="22" t="s">
        <v>6</v>
      </c>
      <c r="B11" s="227"/>
      <c r="C11" s="23">
        <v>364902</v>
      </c>
      <c r="D11" s="23">
        <v>337224</v>
      </c>
      <c r="E11" s="23">
        <v>305960.21100000001</v>
      </c>
      <c r="F11" s="23">
        <v>278457.3064</v>
      </c>
      <c r="G11" s="23">
        <v>260163.32600000003</v>
      </c>
      <c r="H11" s="23">
        <v>218840.51800000001</v>
      </c>
      <c r="I11" s="165">
        <v>198412</v>
      </c>
      <c r="J11" s="158" t="e">
        <f>+#REF!</f>
        <v>#REF!</v>
      </c>
      <c r="K11" s="24" t="e">
        <f t="shared" ref="K11:Q11" si="0">SUM(K9:K10)</f>
        <v>#REF!</v>
      </c>
      <c r="L11" s="24" t="e">
        <f t="shared" si="0"/>
        <v>#REF!</v>
      </c>
      <c r="M11" s="24" t="e">
        <f t="shared" si="0"/>
        <v>#REF!</v>
      </c>
      <c r="N11" s="25" t="e">
        <f t="shared" si="0"/>
        <v>#REF!</v>
      </c>
      <c r="O11" s="26" t="e">
        <f t="shared" si="0"/>
        <v>#REF!</v>
      </c>
      <c r="P11" s="26" t="e">
        <f t="shared" si="0"/>
        <v>#REF!</v>
      </c>
      <c r="Q11" s="26" t="e">
        <f t="shared" si="0"/>
        <v>#REF!</v>
      </c>
    </row>
    <row r="12" spans="1:61">
      <c r="A12" s="22" t="s">
        <v>7</v>
      </c>
      <c r="B12" s="227"/>
      <c r="C12" s="23">
        <v>1374</v>
      </c>
      <c r="D12" s="23">
        <v>1361</v>
      </c>
      <c r="E12" s="23">
        <v>570</v>
      </c>
      <c r="F12" s="23">
        <v>1301.9853250000001</v>
      </c>
      <c r="G12" s="23">
        <v>1302</v>
      </c>
      <c r="H12" s="23">
        <v>1352</v>
      </c>
      <c r="I12" s="165">
        <v>1352</v>
      </c>
      <c r="J12" s="158" t="e">
        <f>+#REF!</f>
        <v>#REF!</v>
      </c>
      <c r="K12" s="24" t="e">
        <f>#REF!+#REF!</f>
        <v>#REF!</v>
      </c>
      <c r="L12" s="24" t="e">
        <f>#REF!+#REF!</f>
        <v>#REF!</v>
      </c>
      <c r="M12" s="24" t="e">
        <f>#REF!+#REF!</f>
        <v>#REF!</v>
      </c>
      <c r="N12" s="25" t="e">
        <f>#REF!+#REF!</f>
        <v>#REF!</v>
      </c>
      <c r="O12" s="26" t="e">
        <f>#REF!+#REF!</f>
        <v>#REF!</v>
      </c>
      <c r="P12" s="26" t="e">
        <f>#REF!+#REF!</f>
        <v>#REF!</v>
      </c>
      <c r="Q12" s="26" t="e">
        <f>#REF!+#REF!</f>
        <v>#REF!</v>
      </c>
    </row>
    <row r="13" spans="1:61">
      <c r="A13" s="22" t="s">
        <v>16</v>
      </c>
      <c r="B13" s="227"/>
      <c r="C13" s="23">
        <v>15912</v>
      </c>
      <c r="D13" s="23">
        <v>15931</v>
      </c>
      <c r="E13" s="23">
        <v>15044</v>
      </c>
      <c r="F13" s="23">
        <v>13197</v>
      </c>
      <c r="G13" s="23">
        <v>11155</v>
      </c>
      <c r="H13" s="23">
        <v>10037</v>
      </c>
      <c r="I13" s="165">
        <v>8530</v>
      </c>
      <c r="J13" s="158" t="e">
        <f>+#REF!+#REF!</f>
        <v>#REF!</v>
      </c>
      <c r="K13" s="24" t="e">
        <f>#REF!-#REF!</f>
        <v>#REF!</v>
      </c>
      <c r="L13" s="24" t="e">
        <f>#REF!-#REF!</f>
        <v>#REF!</v>
      </c>
      <c r="M13" s="24" t="e">
        <f>#REF!-#REF!</f>
        <v>#REF!</v>
      </c>
      <c r="N13" s="25" t="e">
        <f>#REF!-#REF!</f>
        <v>#REF!</v>
      </c>
      <c r="O13" s="26" t="e">
        <f>#REF!-#REF!</f>
        <v>#REF!</v>
      </c>
      <c r="P13" s="26" t="e">
        <f>#REF!-#REF!</f>
        <v>#REF!</v>
      </c>
      <c r="Q13" s="26" t="e">
        <f>#REF!-#REF!</f>
        <v>#REF!</v>
      </c>
    </row>
    <row r="14" spans="1:61">
      <c r="A14" s="34" t="s">
        <v>8</v>
      </c>
      <c r="B14" s="230"/>
      <c r="C14" s="23">
        <v>31342</v>
      </c>
      <c r="D14" s="23">
        <v>10762</v>
      </c>
      <c r="E14" s="23">
        <v>16170.376983</v>
      </c>
      <c r="F14" s="23">
        <v>11073.984182</v>
      </c>
      <c r="G14" s="23">
        <v>11363</v>
      </c>
      <c r="H14" s="23">
        <v>13129</v>
      </c>
      <c r="I14" s="165">
        <v>10136</v>
      </c>
      <c r="J14" s="158" t="e">
        <f>+#REF!</f>
        <v>#REF!</v>
      </c>
      <c r="K14" s="24" t="e">
        <f>#REF!+#REF!+#REF!+SUM(#REF!,#REF!,#REF!,#REF!,#REF!,#REF!,#REF!,#REF!,#REF!,#REF!,#REF!,#REF!,#REF!,#REF!,#REF!,#REF!)</f>
        <v>#REF!</v>
      </c>
      <c r="L14" s="24" t="e">
        <f>#REF!+#REF!+#REF!+SUM(#REF!,#REF!,#REF!,#REF!,#REF!,#REF!,#REF!,#REF!,#REF!,#REF!,#REF!,#REF!,#REF!,#REF!,#REF!,#REF!)</f>
        <v>#REF!</v>
      </c>
      <c r="M14" s="24" t="e">
        <f>#REF!+#REF!+#REF!+SUM(#REF!,#REF!,#REF!,#REF!,#REF!,#REF!,#REF!,#REF!,#REF!,#REF!,#REF!,#REF!,#REF!,#REF!,#REF!,#REF!)</f>
        <v>#REF!</v>
      </c>
      <c r="N14" s="25" t="e">
        <f>#REF!+#REF!+#REF!+SUM(#REF!,#REF!,#REF!,#REF!,#REF!,#REF!,#REF!,#REF!,#REF!,#REF!,#REF!,#REF!,#REF!,#REF!,#REF!,#REF!)</f>
        <v>#REF!</v>
      </c>
      <c r="O14" s="26" t="e">
        <f>#REF!+#REF!+#REF!+SUM(#REF!,#REF!,#REF!,#REF!,#REF!,#REF!,#REF!,#REF!,#REF!,#REF!,#REF!,#REF!,#REF!,#REF!,#REF!,#REF!)</f>
        <v>#REF!</v>
      </c>
      <c r="P14" s="26" t="e">
        <f>#REF!+#REF!+#REF!+SUM(#REF!,#REF!,#REF!,#REF!,#REF!,#REF!,#REF!,#REF!,#REF!,#REF!,#REF!,#REF!,#REF!,#REF!,#REF!,#REF!)</f>
        <v>#REF!</v>
      </c>
      <c r="Q14" s="26" t="e">
        <f>#REF!+#REF!+#REF!+SUM(#REF!,#REF!,#REF!,#REF!,#REF!,#REF!,#REF!,#REF!,#REF!,#REF!,#REF!,#REF!,#REF!,#REF!,#REF!,#REF!)</f>
        <v>#REF!</v>
      </c>
    </row>
    <row r="15" spans="1:61" s="40" customFormat="1">
      <c r="A15" s="35" t="s">
        <v>81</v>
      </c>
      <c r="B15" s="231"/>
      <c r="C15" s="36">
        <v>464663</v>
      </c>
      <c r="D15" s="36">
        <v>415730</v>
      </c>
      <c r="E15" s="36">
        <v>378744.58798300003</v>
      </c>
      <c r="F15" s="36">
        <v>347331.29396600003</v>
      </c>
      <c r="G15" s="36">
        <v>318410.326</v>
      </c>
      <c r="H15" s="36">
        <v>278321.51800000004</v>
      </c>
      <c r="I15" s="167">
        <v>270947</v>
      </c>
      <c r="J15" s="160" t="e">
        <f t="shared" ref="D15:J15" si="1">SUM(J5,J6,J7,J8,J11,J12,J13,J14)</f>
        <v>#REF!</v>
      </c>
      <c r="K15" s="37" t="e">
        <f t="shared" ref="K15:Q15" si="2">K5+K6+K7+K11+K12+K13+K14</f>
        <v>#REF!</v>
      </c>
      <c r="L15" s="37" t="e">
        <f t="shared" si="2"/>
        <v>#REF!</v>
      </c>
      <c r="M15" s="37" t="e">
        <f t="shared" si="2"/>
        <v>#REF!</v>
      </c>
      <c r="N15" s="38" t="e">
        <f t="shared" si="2"/>
        <v>#REF!</v>
      </c>
      <c r="O15" s="39" t="e">
        <f t="shared" si="2"/>
        <v>#REF!</v>
      </c>
      <c r="P15" s="39" t="e">
        <f t="shared" si="2"/>
        <v>#REF!</v>
      </c>
      <c r="Q15" s="39" t="e">
        <f t="shared" si="2"/>
        <v>#REF!</v>
      </c>
      <c r="R15" s="10"/>
      <c r="S15" s="248"/>
      <c r="T15" s="248"/>
      <c r="U15" s="248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</row>
    <row r="16" spans="1:61">
      <c r="A16" s="41"/>
      <c r="B16" s="232"/>
      <c r="C16" s="42"/>
      <c r="D16" s="42"/>
      <c r="E16" s="42"/>
      <c r="F16" s="42"/>
      <c r="G16" s="42"/>
      <c r="H16" s="42"/>
      <c r="I16" s="168"/>
      <c r="J16" s="161"/>
      <c r="K16" s="42"/>
      <c r="L16" s="42"/>
      <c r="M16" s="42"/>
      <c r="N16" s="43"/>
      <c r="O16" s="26"/>
      <c r="P16" s="26"/>
      <c r="Q16" s="26"/>
    </row>
    <row r="17" spans="1:61" s="3" customFormat="1">
      <c r="A17" s="44"/>
      <c r="B17" s="57"/>
      <c r="C17" s="45"/>
      <c r="D17" s="45"/>
      <c r="E17" s="45"/>
      <c r="F17" s="45"/>
      <c r="G17" s="45"/>
      <c r="H17" s="45"/>
      <c r="I17" s="58"/>
      <c r="J17" s="162"/>
      <c r="K17" s="45"/>
      <c r="L17" s="45"/>
      <c r="M17" s="45"/>
      <c r="N17" s="46"/>
      <c r="O17" s="47"/>
      <c r="P17" s="47"/>
      <c r="Q17" s="47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</row>
    <row r="18" spans="1:61">
      <c r="A18" s="34" t="s">
        <v>9</v>
      </c>
      <c r="B18" s="230"/>
      <c r="C18" s="48">
        <v>315360</v>
      </c>
      <c r="D18" s="48">
        <v>278661</v>
      </c>
      <c r="E18" s="48">
        <v>256295.61569999999</v>
      </c>
      <c r="F18" s="48">
        <v>248287.07232100001</v>
      </c>
      <c r="G18" s="48">
        <v>219166</v>
      </c>
      <c r="H18" s="48">
        <v>215423</v>
      </c>
      <c r="I18" s="169">
        <v>195726</v>
      </c>
      <c r="J18" s="163" t="e">
        <f>+#REF!</f>
        <v>#REF!</v>
      </c>
      <c r="K18" s="28" t="e">
        <f>SUM(#REF!,#REF!,#REF!,#REF!,#REF!,#REF!,#REF!,#REF!,#REF!,#REF!)+SUM(#REF!,#REF!,#REF!,#REF!,#REF!,#REF!,#REF!,#REF!,#REF!,#REF!)</f>
        <v>#REF!</v>
      </c>
      <c r="L18" s="28" t="e">
        <f>SUM(#REF!,#REF!,#REF!,#REF!,#REF!,#REF!,#REF!,#REF!,#REF!,#REF!)+SUM(#REF!,#REF!,#REF!,#REF!,#REF!,#REF!,#REF!,#REF!,#REF!,#REF!)</f>
        <v>#REF!</v>
      </c>
      <c r="M18" s="28" t="e">
        <f>SUM(#REF!,#REF!,#REF!,#REF!,#REF!,#REF!,#REF!,#REF!,#REF!,#REF!)+SUM(#REF!,#REF!,#REF!,#REF!,#REF!,#REF!,#REF!,#REF!,#REF!,#REF!)</f>
        <v>#REF!</v>
      </c>
      <c r="N18" s="25" t="e">
        <f>SUM(#REF!,#REF!,#REF!,#REF!,#REF!,#REF!,#REF!,#REF!,#REF!,#REF!)+SUM(#REF!,#REF!,#REF!,#REF!,#REF!,#REF!,#REF!,#REF!,#REF!,#REF!)</f>
        <v>#REF!</v>
      </c>
      <c r="O18" s="26" t="e">
        <f>SUM(#REF!,#REF!,#REF!,#REF!,#REF!,#REF!,#REF!,#REF!,#REF!,#REF!)+SUM(#REF!,#REF!,#REF!,#REF!,#REF!,#REF!,#REF!,#REF!,#REF!,#REF!)</f>
        <v>#REF!</v>
      </c>
      <c r="P18" s="26" t="e">
        <f>SUM(#REF!,#REF!,#REF!,#REF!,#REF!,#REF!,#REF!,#REF!,#REF!,#REF!)+SUM(#REF!,#REF!,#REF!,#REF!,#REF!,#REF!,#REF!,#REF!,#REF!,#REF!)</f>
        <v>#REF!</v>
      </c>
      <c r="Q18" s="26" t="e">
        <f>SUM(#REF!,#REF!,#REF!,#REF!,#REF!,#REF!,#REF!,#REF!,#REF!,#REF!)+SUM(#REF!,#REF!,#REF!,#REF!,#REF!,#REF!,#REF!,#REF!,#REF!,#REF!)</f>
        <v>#REF!</v>
      </c>
    </row>
    <row r="19" spans="1:61">
      <c r="A19" s="34" t="s">
        <v>10</v>
      </c>
      <c r="B19" s="230"/>
      <c r="C19" s="48">
        <v>52029</v>
      </c>
      <c r="D19" s="48">
        <v>38493</v>
      </c>
      <c r="E19" s="48">
        <v>39655.342954</v>
      </c>
      <c r="F19" s="48">
        <v>26244.939588000001</v>
      </c>
      <c r="G19" s="48">
        <v>3</v>
      </c>
      <c r="H19" s="48">
        <v>42</v>
      </c>
      <c r="I19" s="169"/>
      <c r="J19" s="163"/>
      <c r="K19" s="28" t="e">
        <f>SUM(#REF!,#REF!,#REF!,#REF!,#REF!,#REF!,#REF!,#REF!,#REF!,#REF!,#REF!)</f>
        <v>#REF!</v>
      </c>
      <c r="L19" s="28" t="e">
        <f>SUM(#REF!,#REF!,#REF!,#REF!,#REF!,#REF!,#REF!,#REF!,#REF!,#REF!,#REF!)</f>
        <v>#REF!</v>
      </c>
      <c r="M19" s="28" t="e">
        <f>SUM(#REF!,#REF!,#REF!,#REF!,#REF!,#REF!,#REF!,#REF!,#REF!,#REF!,#REF!)</f>
        <v>#REF!</v>
      </c>
      <c r="N19" s="25" t="e">
        <f>SUM(#REF!,#REF!,#REF!,#REF!,#REF!,#REF!,#REF!,#REF!,#REF!,#REF!,#REF!)</f>
        <v>#REF!</v>
      </c>
      <c r="O19" s="26" t="e">
        <f>SUM(#REF!,#REF!,#REF!,#REF!,#REF!,#REF!,#REF!,#REF!,#REF!,#REF!,#REF!)</f>
        <v>#REF!</v>
      </c>
      <c r="P19" s="26" t="e">
        <f>SUM(#REF!,#REF!,#REF!,#REF!,#REF!,#REF!,#REF!,#REF!,#REF!,#REF!,#REF!)</f>
        <v>#REF!</v>
      </c>
      <c r="Q19" s="26" t="e">
        <f>SUM(#REF!,#REF!,#REF!,#REF!,#REF!,#REF!,#REF!,#REF!,#REF!,#REF!,#REF!)</f>
        <v>#REF!</v>
      </c>
    </row>
    <row r="20" spans="1:61">
      <c r="A20" s="49" t="s">
        <v>11</v>
      </c>
      <c r="B20" s="233"/>
      <c r="C20" s="48">
        <v>41834</v>
      </c>
      <c r="D20" s="48">
        <v>45219</v>
      </c>
      <c r="E20" s="48">
        <v>28883.907582</v>
      </c>
      <c r="F20" s="48">
        <v>23678.064414</v>
      </c>
      <c r="G20" s="48">
        <v>42887</v>
      </c>
      <c r="H20" s="48">
        <v>15144</v>
      </c>
      <c r="I20" s="169">
        <v>16398</v>
      </c>
      <c r="J20" s="163" t="e">
        <f>+#REF!</f>
        <v>#REF!</v>
      </c>
      <c r="K20" s="28" t="e">
        <f>SUM(#REF!,#REF!,#REF!,#REF!,#REF!,#REF!,#REF!,#REF!,#REF!,#REF!,#REF!,#REF!,#REF!,#REF!,#REF!,#REF!)+SUM(#REF!,#REF!,#REF!,#REF!,#REF!,#REF!,#REF!,#REF!,#REF!,#REF!,#REF!,#REF!,#REF!)</f>
        <v>#REF!</v>
      </c>
      <c r="L20" s="28" t="e">
        <f>SUM(#REF!,#REF!,#REF!,#REF!,#REF!,#REF!,#REF!,#REF!,#REF!,#REF!,#REF!,#REF!,#REF!,#REF!,#REF!,#REF!)+SUM(#REF!,#REF!,#REF!,#REF!,#REF!,#REF!,#REF!,#REF!,#REF!,#REF!,#REF!,#REF!,#REF!)</f>
        <v>#REF!</v>
      </c>
      <c r="M20" s="28" t="e">
        <f>SUM(#REF!,#REF!,#REF!,#REF!,#REF!,#REF!,#REF!,#REF!,#REF!,#REF!,#REF!,#REF!,#REF!,#REF!,#REF!,#REF!)+SUM(#REF!,#REF!,#REF!,#REF!,#REF!,#REF!,#REF!,#REF!,#REF!,#REF!,#REF!,#REF!,#REF!)</f>
        <v>#REF!</v>
      </c>
      <c r="N20" s="25" t="e">
        <f>SUM(#REF!,#REF!,#REF!,#REF!,#REF!,#REF!,#REF!,#REF!,#REF!,#REF!,#REF!,#REF!,#REF!,#REF!,#REF!,#REF!)+SUM(#REF!,#REF!,#REF!,#REF!,#REF!,#REF!,#REF!,#REF!,#REF!,#REF!,#REF!,#REF!,#REF!)</f>
        <v>#REF!</v>
      </c>
      <c r="O20" s="26" t="e">
        <f>SUM(#REF!,#REF!,#REF!,#REF!,#REF!,#REF!,#REF!,#REF!,#REF!,#REF!,#REF!,#REF!,#REF!,#REF!,#REF!,#REF!)+SUM(#REF!,#REF!,#REF!,#REF!,#REF!,#REF!,#REF!,#REF!,#REF!,#REF!,#REF!,#REF!,#REF!)</f>
        <v>#REF!</v>
      </c>
      <c r="P20" s="26" t="e">
        <f>SUM(#REF!,#REF!,#REF!,#REF!,#REF!,#REF!,#REF!,#REF!,#REF!,#REF!,#REF!,#REF!,#REF!,#REF!,#REF!,#REF!)+SUM(#REF!,#REF!,#REF!,#REF!,#REF!,#REF!,#REF!,#REF!,#REF!,#REF!,#REF!,#REF!,#REF!)</f>
        <v>#REF!</v>
      </c>
      <c r="Q20" s="26" t="e">
        <f>SUM(#REF!,#REF!,#REF!,#REF!,#REF!,#REF!,#REF!,#REF!,#REF!,#REF!,#REF!,#REF!,#REF!,#REF!,#REF!,#REF!)+SUM(#REF!,#REF!,#REF!,#REF!,#REF!,#REF!,#REF!,#REF!,#REF!,#REF!,#REF!,#REF!,#REF!)</f>
        <v>#REF!</v>
      </c>
    </row>
    <row r="21" spans="1:61">
      <c r="A21" s="34" t="s">
        <v>12</v>
      </c>
      <c r="B21" s="230"/>
      <c r="C21" s="48">
        <v>7407</v>
      </c>
      <c r="D21" s="48">
        <v>7166</v>
      </c>
      <c r="E21" s="48">
        <v>5886</v>
      </c>
      <c r="F21" s="48">
        <v>5012.6543549999997</v>
      </c>
      <c r="G21" s="48">
        <v>8018</v>
      </c>
      <c r="H21" s="48">
        <v>5530</v>
      </c>
      <c r="I21" s="169">
        <v>5551</v>
      </c>
      <c r="J21" s="163" t="e">
        <f>+#REF!+#REF!</f>
        <v>#REF!</v>
      </c>
      <c r="K21" s="28" t="e">
        <f>SUM(#REF!,#REF!,#REF!,#REF!,#REF!,#REF!,#REF!,#REF!,#REF!,#REF!,#REF!)+SUM(#REF!,#REF!,#REF!,#REF!,#REF!,#REF!,#REF!)</f>
        <v>#REF!</v>
      </c>
      <c r="L21" s="28" t="e">
        <f>SUM(#REF!,#REF!,#REF!,#REF!,#REF!,#REF!,#REF!,#REF!,#REF!,#REF!,#REF!)+SUM(#REF!,#REF!,#REF!,#REF!,#REF!,#REF!,#REF!)</f>
        <v>#REF!</v>
      </c>
      <c r="M21" s="28" t="e">
        <f>SUM(#REF!,#REF!,#REF!,#REF!,#REF!,#REF!,#REF!,#REF!,#REF!,#REF!,#REF!)+SUM(#REF!,#REF!,#REF!,#REF!,#REF!,#REF!,#REF!)</f>
        <v>#REF!</v>
      </c>
      <c r="N21" s="25" t="e">
        <f>SUM(#REF!,#REF!,#REF!,#REF!,#REF!,#REF!,#REF!,#REF!,#REF!,#REF!,#REF!)+SUM(#REF!,#REF!,#REF!,#REF!,#REF!,#REF!,#REF!)</f>
        <v>#REF!</v>
      </c>
      <c r="O21" s="26" t="e">
        <f>SUM(#REF!,#REF!,#REF!,#REF!,#REF!,#REF!,#REF!,#REF!,#REF!,#REF!,#REF!)+SUM(#REF!,#REF!,#REF!,#REF!,#REF!,#REF!,#REF!)</f>
        <v>#REF!</v>
      </c>
      <c r="P21" s="26" t="e">
        <f>SUM(#REF!,#REF!,#REF!,#REF!,#REF!,#REF!,#REF!,#REF!,#REF!,#REF!,#REF!)+SUM(#REF!,#REF!,#REF!,#REF!,#REF!,#REF!,#REF!)</f>
        <v>#REF!</v>
      </c>
      <c r="Q21" s="26" t="e">
        <f>SUM(#REF!,#REF!,#REF!,#REF!,#REF!,#REF!,#REF!,#REF!,#REF!,#REF!,#REF!)+SUM(#REF!,#REF!,#REF!,#REF!,#REF!,#REF!,#REF!)</f>
        <v>#REF!</v>
      </c>
    </row>
    <row r="22" spans="1:61">
      <c r="A22" s="34" t="s">
        <v>17</v>
      </c>
      <c r="B22" s="230"/>
      <c r="C22" s="48">
        <v>416630</v>
      </c>
      <c r="D22" s="48">
        <v>369539</v>
      </c>
      <c r="E22" s="48">
        <v>330720.86623600003</v>
      </c>
      <c r="F22" s="48">
        <v>303222.73067800002</v>
      </c>
      <c r="G22" s="48">
        <v>270074</v>
      </c>
      <c r="H22" s="48">
        <v>236139</v>
      </c>
      <c r="I22" s="169">
        <v>217675</v>
      </c>
      <c r="J22" s="163" t="e">
        <f t="shared" ref="D22:Q22" si="3">SUM(J18:J21)</f>
        <v>#REF!</v>
      </c>
      <c r="K22" s="28" t="e">
        <f t="shared" si="3"/>
        <v>#REF!</v>
      </c>
      <c r="L22" s="28" t="e">
        <f t="shared" si="3"/>
        <v>#REF!</v>
      </c>
      <c r="M22" s="28" t="e">
        <f t="shared" si="3"/>
        <v>#REF!</v>
      </c>
      <c r="N22" s="25" t="e">
        <f t="shared" si="3"/>
        <v>#REF!</v>
      </c>
      <c r="O22" s="26" t="e">
        <f t="shared" si="3"/>
        <v>#REF!</v>
      </c>
      <c r="P22" s="26" t="e">
        <f t="shared" si="3"/>
        <v>#REF!</v>
      </c>
      <c r="Q22" s="26" t="e">
        <f t="shared" si="3"/>
        <v>#REF!</v>
      </c>
    </row>
    <row r="23" spans="1:61">
      <c r="A23" s="34" t="s">
        <v>13</v>
      </c>
      <c r="B23" s="230"/>
      <c r="C23" s="48"/>
      <c r="D23" s="48"/>
      <c r="E23" s="48"/>
      <c r="F23" s="48"/>
      <c r="G23" s="48"/>
      <c r="H23" s="48"/>
      <c r="I23" s="169"/>
      <c r="J23" s="163"/>
      <c r="K23" s="28" t="e">
        <f>SUM(#REF!,#REF!,#REF!)</f>
        <v>#REF!</v>
      </c>
      <c r="L23" s="28" t="e">
        <f>SUM(#REF!,#REF!,#REF!)</f>
        <v>#REF!</v>
      </c>
      <c r="M23" s="28" t="e">
        <f>SUM(#REF!,#REF!,#REF!)</f>
        <v>#REF!</v>
      </c>
      <c r="N23" s="25" t="e">
        <f>SUM(#REF!,#REF!,#REF!)</f>
        <v>#REF!</v>
      </c>
      <c r="O23" s="26" t="e">
        <f>SUM(#REF!,#REF!,#REF!)</f>
        <v>#REF!</v>
      </c>
      <c r="P23" s="26" t="e">
        <f>SUM(#REF!,#REF!,#REF!)</f>
        <v>#REF!</v>
      </c>
      <c r="Q23" s="26" t="e">
        <f>SUM(#REF!,#REF!,#REF!)</f>
        <v>#REF!</v>
      </c>
    </row>
    <row r="24" spans="1:61">
      <c r="A24" s="34" t="s">
        <v>14</v>
      </c>
      <c r="B24" s="230"/>
      <c r="C24" s="48"/>
      <c r="D24" s="48"/>
      <c r="E24" s="48"/>
      <c r="F24" s="48"/>
      <c r="G24" s="48"/>
      <c r="H24" s="48"/>
      <c r="I24" s="169"/>
      <c r="J24" s="163"/>
      <c r="K24" s="28" t="e">
        <f>#REF!</f>
        <v>#REF!</v>
      </c>
      <c r="L24" s="28" t="e">
        <f>#REF!</f>
        <v>#REF!</v>
      </c>
      <c r="M24" s="28" t="e">
        <f>#REF!</f>
        <v>#REF!</v>
      </c>
      <c r="N24" s="25" t="e">
        <f>#REF!</f>
        <v>#REF!</v>
      </c>
      <c r="O24" s="26" t="e">
        <f>#REF!</f>
        <v>#REF!</v>
      </c>
      <c r="P24" s="26" t="e">
        <f>#REF!</f>
        <v>#REF!</v>
      </c>
      <c r="Q24" s="26" t="e">
        <f>#REF!</f>
        <v>#REF!</v>
      </c>
    </row>
    <row r="25" spans="1:61">
      <c r="A25" s="49" t="s">
        <v>55</v>
      </c>
      <c r="B25" s="233"/>
      <c r="C25" s="48">
        <v>1294</v>
      </c>
      <c r="D25" s="48">
        <v>768</v>
      </c>
      <c r="E25" s="48">
        <v>1131.8035640000001</v>
      </c>
      <c r="F25" s="48">
        <v>1210.5035339999999</v>
      </c>
      <c r="G25" s="48">
        <v>1932</v>
      </c>
      <c r="H25" s="48">
        <v>1572</v>
      </c>
      <c r="I25" s="169">
        <v>1464</v>
      </c>
      <c r="J25" s="163" t="e">
        <f>+#REF!</f>
        <v>#REF!</v>
      </c>
      <c r="K25" s="28" t="e">
        <f>#REF!+#REF!+#REF!+#REF!</f>
        <v>#REF!</v>
      </c>
      <c r="L25" s="28" t="e">
        <f>#REF!+#REF!+#REF!+#REF!</f>
        <v>#REF!</v>
      </c>
      <c r="M25" s="28" t="e">
        <f>#REF!+#REF!+#REF!+#REF!</f>
        <v>#REF!</v>
      </c>
      <c r="N25" s="25" t="e">
        <f>#REF!+#REF!+#REF!+#REF!</f>
        <v>#REF!</v>
      </c>
      <c r="O25" s="26" t="e">
        <f>#REF!+#REF!+#REF!+#REF!</f>
        <v>#REF!</v>
      </c>
      <c r="P25" s="26" t="e">
        <f>#REF!+#REF!+#REF!+#REF!</f>
        <v>#REF!</v>
      </c>
      <c r="Q25" s="26" t="e">
        <f>#REF!+#REF!+#REF!+#REF!</f>
        <v>#REF!</v>
      </c>
    </row>
    <row r="26" spans="1:61">
      <c r="A26" s="34" t="s">
        <v>54</v>
      </c>
      <c r="B26" s="230"/>
      <c r="C26" s="48">
        <v>46739</v>
      </c>
      <c r="D26" s="48">
        <v>45423</v>
      </c>
      <c r="E26" s="48">
        <v>46892.275971000003</v>
      </c>
      <c r="F26" s="48">
        <v>42897.562433999999</v>
      </c>
      <c r="G26" s="48">
        <v>46404</v>
      </c>
      <c r="H26" s="48">
        <v>40611</v>
      </c>
      <c r="I26" s="169">
        <v>51808</v>
      </c>
      <c r="J26" s="163" t="e">
        <f>+#REF!+#REF!</f>
        <v>#REF!</v>
      </c>
      <c r="K26" s="28" t="e">
        <f>SUM(#REF!)-#REF!-(#REF!+#REF!+#REF!)-#REF!</f>
        <v>#REF!</v>
      </c>
      <c r="L26" s="28" t="e">
        <f>SUM(#REF!)-#REF!-(#REF!+#REF!+#REF!)-#REF!</f>
        <v>#REF!</v>
      </c>
      <c r="M26" s="28" t="e">
        <f>SUM(#REF!)-#REF!-(#REF!+#REF!+#REF!)-#REF!</f>
        <v>#REF!</v>
      </c>
      <c r="N26" s="25" t="e">
        <f>SUM(#REF!)-#REF!-(#REF!+#REF!+#REF!)-#REF!</f>
        <v>#REF!</v>
      </c>
      <c r="O26" s="26" t="e">
        <f>SUM(#REF!)-#REF!-(#REF!+#REF!+#REF!)-#REF!</f>
        <v>#REF!</v>
      </c>
      <c r="P26" s="26" t="e">
        <f>SUM(#REF!)-#REF!-(#REF!+#REF!+#REF!)-#REF!</f>
        <v>#REF!</v>
      </c>
      <c r="Q26" s="26" t="e">
        <f>SUM(#REF!)-#REF!-(#REF!+#REF!+#REF!)-#REF!</f>
        <v>#REF!</v>
      </c>
    </row>
    <row r="27" spans="1:61">
      <c r="A27" s="34" t="s">
        <v>56</v>
      </c>
      <c r="B27" s="230"/>
      <c r="C27" s="48">
        <v>48033</v>
      </c>
      <c r="D27" s="48">
        <v>46191</v>
      </c>
      <c r="E27" s="48">
        <v>48024.079535000004</v>
      </c>
      <c r="F27" s="48">
        <v>44108.065968000003</v>
      </c>
      <c r="G27" s="48">
        <v>48336</v>
      </c>
      <c r="H27" s="48">
        <v>42183</v>
      </c>
      <c r="I27" s="169">
        <v>53272</v>
      </c>
      <c r="J27" s="163" t="e">
        <f t="shared" ref="F27:Q27" si="4">+J26+J25</f>
        <v>#REF!</v>
      </c>
      <c r="K27" s="48" t="e">
        <f t="shared" si="4"/>
        <v>#REF!</v>
      </c>
      <c r="L27" s="48" t="e">
        <f t="shared" si="4"/>
        <v>#REF!</v>
      </c>
      <c r="M27" s="48" t="e">
        <f t="shared" si="4"/>
        <v>#REF!</v>
      </c>
      <c r="N27" s="48" t="e">
        <f t="shared" si="4"/>
        <v>#REF!</v>
      </c>
      <c r="O27" s="48" t="e">
        <f t="shared" si="4"/>
        <v>#REF!</v>
      </c>
      <c r="P27" s="48" t="e">
        <f t="shared" si="4"/>
        <v>#REF!</v>
      </c>
      <c r="Q27" s="48" t="e">
        <f t="shared" si="4"/>
        <v>#REF!</v>
      </c>
    </row>
    <row r="28" spans="1:61" s="40" customFormat="1">
      <c r="A28" s="35" t="s">
        <v>15</v>
      </c>
      <c r="B28" s="231"/>
      <c r="C28" s="50">
        <v>464663</v>
      </c>
      <c r="D28" s="50">
        <v>415730</v>
      </c>
      <c r="E28" s="50">
        <v>378744.94577100006</v>
      </c>
      <c r="F28" s="50">
        <v>347330.796646</v>
      </c>
      <c r="G28" s="50">
        <v>318410</v>
      </c>
      <c r="H28" s="50">
        <v>278322</v>
      </c>
      <c r="I28" s="170">
        <v>270947</v>
      </c>
      <c r="J28" s="160" t="e">
        <f t="shared" ref="D28:J28" si="5">J22+J27</f>
        <v>#REF!</v>
      </c>
      <c r="K28" s="51" t="e">
        <f t="shared" ref="K28:Q28" si="6">K22+K27</f>
        <v>#REF!</v>
      </c>
      <c r="L28" s="51" t="e">
        <f t="shared" si="6"/>
        <v>#REF!</v>
      </c>
      <c r="M28" s="51" t="e">
        <f t="shared" si="6"/>
        <v>#REF!</v>
      </c>
      <c r="N28" s="38" t="e">
        <f t="shared" si="6"/>
        <v>#REF!</v>
      </c>
      <c r="O28" s="39" t="e">
        <f t="shared" si="6"/>
        <v>#REF!</v>
      </c>
      <c r="P28" s="39" t="e">
        <f t="shared" si="6"/>
        <v>#REF!</v>
      </c>
      <c r="Q28" s="39" t="e">
        <f t="shared" si="6"/>
        <v>#REF!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</row>
    <row r="29" spans="1:61" s="4" customFormat="1">
      <c r="A29" s="52" t="s">
        <v>84</v>
      </c>
      <c r="B29" s="52"/>
      <c r="C29" s="53">
        <v>0</v>
      </c>
      <c r="D29" s="53">
        <v>0</v>
      </c>
      <c r="E29" s="53">
        <v>0.35778800002299249</v>
      </c>
      <c r="F29" s="53">
        <v>-0.49732000002404675</v>
      </c>
      <c r="G29" s="53">
        <v>-0.32600000000093132</v>
      </c>
      <c r="H29" s="53">
        <v>0.48199999995995313</v>
      </c>
      <c r="I29" s="53">
        <v>0</v>
      </c>
      <c r="J29" s="53" t="e">
        <f t="shared" ref="D29:Q29" si="7">J28-J15</f>
        <v>#REF!</v>
      </c>
      <c r="K29" s="53" t="e">
        <f t="shared" si="7"/>
        <v>#REF!</v>
      </c>
      <c r="L29" s="53" t="e">
        <f t="shared" si="7"/>
        <v>#REF!</v>
      </c>
      <c r="M29" s="53" t="e">
        <f t="shared" si="7"/>
        <v>#REF!</v>
      </c>
      <c r="N29" s="53" t="e">
        <f t="shared" si="7"/>
        <v>#REF!</v>
      </c>
      <c r="O29" s="53" t="e">
        <f t="shared" si="7"/>
        <v>#REF!</v>
      </c>
      <c r="P29" s="53" t="e">
        <f t="shared" si="7"/>
        <v>#REF!</v>
      </c>
      <c r="Q29" s="53" t="e">
        <f t="shared" si="7"/>
        <v>#REF!</v>
      </c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247"/>
      <c r="BB29" s="247"/>
      <c r="BC29" s="247"/>
      <c r="BD29" s="247"/>
      <c r="BE29" s="247"/>
      <c r="BF29" s="247"/>
      <c r="BG29" s="247"/>
      <c r="BH29" s="247"/>
      <c r="BI29" s="247"/>
    </row>
    <row r="30" spans="1:61">
      <c r="A30" s="9"/>
      <c r="B30" s="9"/>
      <c r="C30" s="9"/>
      <c r="D30" s="9"/>
      <c r="E30" s="54"/>
      <c r="F30" s="54"/>
      <c r="G30" s="54"/>
      <c r="H30" s="54"/>
      <c r="I30" s="54"/>
      <c r="J30" s="55"/>
      <c r="K30" s="55"/>
      <c r="L30" s="55"/>
      <c r="M30" s="55"/>
      <c r="N30" s="55"/>
      <c r="O30" s="55"/>
      <c r="P30" s="55"/>
      <c r="Q30" s="55"/>
    </row>
    <row r="31" spans="1:61" s="17" customFormat="1">
      <c r="A31" s="12" t="s">
        <v>82</v>
      </c>
      <c r="B31" s="225"/>
      <c r="C31" s="13">
        <v>2020</v>
      </c>
      <c r="D31" s="13">
        <v>2019</v>
      </c>
      <c r="E31" s="13">
        <v>2018</v>
      </c>
      <c r="F31" s="13">
        <v>2017</v>
      </c>
      <c r="G31" s="13">
        <v>2016</v>
      </c>
      <c r="H31" s="13">
        <v>2015</v>
      </c>
      <c r="I31" s="164">
        <v>2014</v>
      </c>
      <c r="J31" s="13">
        <v>2013</v>
      </c>
      <c r="K31" s="14" t="e">
        <f>K3</f>
        <v>#REF!</v>
      </c>
      <c r="L31" s="14" t="e">
        <f>L3</f>
        <v>#REF!</v>
      </c>
      <c r="M31" s="14" t="e">
        <f>M3</f>
        <v>#REF!</v>
      </c>
      <c r="N31" s="15" t="e">
        <f>N3</f>
        <v>#REF!</v>
      </c>
      <c r="O31" s="56"/>
      <c r="P31" s="56"/>
      <c r="Q31" s="56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</row>
    <row r="32" spans="1:61" s="3" customFormat="1">
      <c r="A32" s="44"/>
      <c r="B32" s="57"/>
      <c r="C32" s="57"/>
      <c r="D32" s="57"/>
      <c r="E32" s="57"/>
      <c r="F32" s="57"/>
      <c r="G32" s="57"/>
      <c r="H32" s="57"/>
      <c r="I32" s="177"/>
      <c r="J32" s="162"/>
      <c r="K32" s="45"/>
      <c r="L32" s="45"/>
      <c r="M32" s="45"/>
      <c r="N32" s="58"/>
      <c r="O32" s="59"/>
      <c r="P32" s="59"/>
      <c r="Q32" s="59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</row>
    <row r="33" spans="1:61">
      <c r="A33" s="34" t="s">
        <v>18</v>
      </c>
      <c r="B33" s="230"/>
      <c r="C33" s="48">
        <v>24579</v>
      </c>
      <c r="D33" s="48">
        <v>22998</v>
      </c>
      <c r="E33" s="48">
        <v>22466.741887</v>
      </c>
      <c r="F33" s="48">
        <v>19073.119889000001</v>
      </c>
      <c r="G33" s="48">
        <v>18106</v>
      </c>
      <c r="H33" s="48">
        <v>14970</v>
      </c>
      <c r="I33" s="169">
        <v>12573</v>
      </c>
      <c r="J33" s="163" t="e">
        <f>+#REF!+#REF!</f>
        <v>#REF!</v>
      </c>
      <c r="K33" s="28" t="e">
        <f>SUM(#REF!,#REF!,#REF!,#REF!)-#REF!</f>
        <v>#REF!</v>
      </c>
      <c r="L33" s="28" t="e">
        <f>SUM(#REF!,#REF!,#REF!,#REF!)-#REF!</f>
        <v>#REF!</v>
      </c>
      <c r="M33" s="28" t="e">
        <f>SUM(#REF!,#REF!,#REF!,#REF!)-#REF!</f>
        <v>#REF!</v>
      </c>
      <c r="N33" s="25" t="e">
        <f>SUM(#REF!,#REF!,#REF!,#REF!)-#REF!</f>
        <v>#REF!</v>
      </c>
      <c r="O33" s="26" t="e">
        <f>SUM(#REF!,#REF!,#REF!,#REF!)-#REF!</f>
        <v>#REF!</v>
      </c>
      <c r="P33" s="26" t="e">
        <f>SUM(#REF!,#REF!,#REF!,#REF!)-#REF!</f>
        <v>#REF!</v>
      </c>
      <c r="Q33" s="26" t="e">
        <f>SUM(#REF!,#REF!,#REF!,#REF!)-#REF!</f>
        <v>#REF!</v>
      </c>
    </row>
    <row r="34" spans="1:61">
      <c r="A34" s="34" t="s">
        <v>19</v>
      </c>
      <c r="B34" s="230"/>
      <c r="C34" s="60">
        <v>-9272</v>
      </c>
      <c r="D34" s="60">
        <v>-10253</v>
      </c>
      <c r="E34" s="60">
        <v>-6924.2652969999999</v>
      </c>
      <c r="F34" s="60">
        <v>-6790.4854409999998</v>
      </c>
      <c r="G34" s="60">
        <v>-7439</v>
      </c>
      <c r="H34" s="60">
        <v>-5897</v>
      </c>
      <c r="I34" s="178">
        <v>-4321</v>
      </c>
      <c r="J34" s="171" t="e">
        <f>-#REF!-#REF!</f>
        <v>#REF!</v>
      </c>
      <c r="K34" s="61" t="e">
        <f>-#REF!</f>
        <v>#REF!</v>
      </c>
      <c r="L34" s="61" t="e">
        <f>-#REF!</f>
        <v>#REF!</v>
      </c>
      <c r="M34" s="61" t="e">
        <f>-#REF!</f>
        <v>#REF!</v>
      </c>
      <c r="N34" s="62" t="e">
        <f>-#REF!</f>
        <v>#REF!</v>
      </c>
      <c r="O34" s="63" t="e">
        <f>-#REF!</f>
        <v>#REF!</v>
      </c>
      <c r="P34" s="63" t="e">
        <f>-#REF!</f>
        <v>#REF!</v>
      </c>
      <c r="Q34" s="63" t="e">
        <f>-#REF!</f>
        <v>#REF!</v>
      </c>
    </row>
    <row r="35" spans="1:61" s="40" customFormat="1">
      <c r="A35" s="35" t="s">
        <v>20</v>
      </c>
      <c r="B35" s="231"/>
      <c r="C35" s="50">
        <v>15307</v>
      </c>
      <c r="D35" s="50">
        <v>12745</v>
      </c>
      <c r="E35" s="50">
        <v>15542.47659</v>
      </c>
      <c r="F35" s="50">
        <v>12282.634448000001</v>
      </c>
      <c r="G35" s="50">
        <v>10667</v>
      </c>
      <c r="H35" s="50">
        <v>9073</v>
      </c>
      <c r="I35" s="170">
        <v>8252</v>
      </c>
      <c r="J35" s="172" t="e">
        <f t="shared" ref="D35:J35" si="8">J33+J34</f>
        <v>#REF!</v>
      </c>
      <c r="K35" s="51" t="e">
        <f t="shared" ref="K35:Q35" si="9">K33+K34</f>
        <v>#REF!</v>
      </c>
      <c r="L35" s="51" t="e">
        <f t="shared" si="9"/>
        <v>#REF!</v>
      </c>
      <c r="M35" s="51" t="e">
        <f t="shared" si="9"/>
        <v>#REF!</v>
      </c>
      <c r="N35" s="38" t="e">
        <f t="shared" si="9"/>
        <v>#REF!</v>
      </c>
      <c r="O35" s="39" t="e">
        <f t="shared" si="9"/>
        <v>#REF!</v>
      </c>
      <c r="P35" s="39" t="e">
        <f t="shared" si="9"/>
        <v>#REF!</v>
      </c>
      <c r="Q35" s="39" t="e">
        <f t="shared" si="9"/>
        <v>#REF!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</row>
    <row r="36" spans="1:61">
      <c r="A36" s="34" t="s">
        <v>31</v>
      </c>
      <c r="B36" s="230"/>
      <c r="C36" s="48">
        <v>-587</v>
      </c>
      <c r="D36" s="48">
        <v>-32</v>
      </c>
      <c r="E36" s="48">
        <v>0</v>
      </c>
      <c r="F36" s="48">
        <v>6.33284</v>
      </c>
      <c r="G36" s="48">
        <v>34</v>
      </c>
      <c r="H36" s="48">
        <v>325</v>
      </c>
      <c r="I36" s="169">
        <v>239</v>
      </c>
      <c r="J36" s="163" t="e">
        <f>+#REF!</f>
        <v>#REF!</v>
      </c>
      <c r="K36" s="28" t="e">
        <f>#REF!+#REF!-#REF!-#REF!</f>
        <v>#REF!</v>
      </c>
      <c r="L36" s="28" t="e">
        <f>#REF!+#REF!-#REF!-#REF!</f>
        <v>#REF!</v>
      </c>
      <c r="M36" s="28" t="e">
        <f>#REF!+#REF!-#REF!-#REF!</f>
        <v>#REF!</v>
      </c>
      <c r="N36" s="25" t="e">
        <f>#REF!+#REF!-#REF!-#REF!</f>
        <v>#REF!</v>
      </c>
      <c r="O36" s="26" t="e">
        <f>#REF!+#REF!-#REF!-#REF!</f>
        <v>#REF!</v>
      </c>
      <c r="P36" s="26" t="e">
        <f>#REF!+#REF!-#REF!-#REF!</f>
        <v>#REF!</v>
      </c>
      <c r="Q36" s="26" t="e">
        <f>#REF!+#REF!-#REF!-#REF!</f>
        <v>#REF!</v>
      </c>
    </row>
    <row r="37" spans="1:61">
      <c r="A37" s="34" t="s">
        <v>21</v>
      </c>
      <c r="B37" s="230"/>
      <c r="C37" s="48">
        <v>361</v>
      </c>
      <c r="D37" s="48">
        <v>657</v>
      </c>
      <c r="E37" s="48">
        <v>1638.285584</v>
      </c>
      <c r="F37" s="48">
        <v>1837.8653019999999</v>
      </c>
      <c r="G37" s="48">
        <v>846</v>
      </c>
      <c r="H37" s="48">
        <v>1552</v>
      </c>
      <c r="I37" s="169">
        <v>2465</v>
      </c>
      <c r="J37" s="163" t="e">
        <f>+#REF!-#REF!</f>
        <v>#REF!</v>
      </c>
      <c r="K37" s="28" t="e">
        <f>SUM(#REF!,#REF!)-SUM(#REF!,#REF!,#REF!)</f>
        <v>#REF!</v>
      </c>
      <c r="L37" s="28" t="e">
        <f>SUM(#REF!,#REF!)-SUM(#REF!,#REF!,#REF!)</f>
        <v>#REF!</v>
      </c>
      <c r="M37" s="28" t="e">
        <f>SUM(#REF!,#REF!)-SUM(#REF!,#REF!,#REF!)</f>
        <v>#REF!</v>
      </c>
      <c r="N37" s="25" t="e">
        <f>SUM(#REF!,#REF!)-SUM(#REF!,#REF!,#REF!)</f>
        <v>#REF!</v>
      </c>
      <c r="O37" s="26" t="e">
        <f>SUM(#REF!,#REF!)-SUM(#REF!,#REF!,#REF!)</f>
        <v>#REF!</v>
      </c>
      <c r="P37" s="26" t="e">
        <f>SUM(#REF!,#REF!)-SUM(#REF!,#REF!,#REF!)</f>
        <v>#REF!</v>
      </c>
      <c r="Q37" s="26" t="e">
        <f>SUM(#REF!,#REF!)-SUM(#REF!,#REF!,#REF!)</f>
        <v>#REF!</v>
      </c>
    </row>
    <row r="38" spans="1:61">
      <c r="A38" s="34" t="s">
        <v>33</v>
      </c>
      <c r="B38" s="230"/>
      <c r="C38" s="48">
        <v>3214</v>
      </c>
      <c r="D38" s="48">
        <v>4548</v>
      </c>
      <c r="E38" s="48">
        <v>3814</v>
      </c>
      <c r="F38" s="48">
        <v>2963.7395879999999</v>
      </c>
      <c r="G38" s="48">
        <v>3599</v>
      </c>
      <c r="H38" s="48">
        <v>2730</v>
      </c>
      <c r="I38" s="169">
        <v>3149</v>
      </c>
      <c r="J38" s="163" t="e">
        <f>+#REF!</f>
        <v>#REF!</v>
      </c>
      <c r="K38" s="28" t="e">
        <f>SUM(#REF!,#REF!,#REF!)-SUM(#REF!,#REF!)</f>
        <v>#REF!</v>
      </c>
      <c r="L38" s="28" t="e">
        <f>SUM(#REF!,#REF!,#REF!)-SUM(#REF!,#REF!)</f>
        <v>#REF!</v>
      </c>
      <c r="M38" s="28" t="e">
        <f>SUM(#REF!,#REF!,#REF!)-SUM(#REF!,#REF!)</f>
        <v>#REF!</v>
      </c>
      <c r="N38" s="25" t="e">
        <f>SUM(#REF!,#REF!,#REF!)-SUM(#REF!,#REF!)</f>
        <v>#REF!</v>
      </c>
      <c r="O38" s="26" t="e">
        <f>SUM(#REF!,#REF!,#REF!)-SUM(#REF!,#REF!)</f>
        <v>#REF!</v>
      </c>
      <c r="P38" s="26" t="e">
        <f>SUM(#REF!,#REF!,#REF!)-SUM(#REF!,#REF!)</f>
        <v>#REF!</v>
      </c>
      <c r="Q38" s="26" t="e">
        <f>SUM(#REF!,#REF!,#REF!)-SUM(#REF!,#REF!)</f>
        <v>#REF!</v>
      </c>
    </row>
    <row r="39" spans="1:61">
      <c r="A39" s="34" t="s">
        <v>34</v>
      </c>
      <c r="B39" s="230"/>
      <c r="C39" s="48">
        <v>-35</v>
      </c>
      <c r="D39" s="48">
        <v>302</v>
      </c>
      <c r="E39" s="48">
        <v>429</v>
      </c>
      <c r="F39" s="48">
        <v>9773.527716999999</v>
      </c>
      <c r="G39" s="48">
        <v>99</v>
      </c>
      <c r="H39" s="48">
        <v>155</v>
      </c>
      <c r="I39" s="169">
        <v>165</v>
      </c>
      <c r="J39" s="163" t="e">
        <f>+#REF!</f>
        <v>#REF!</v>
      </c>
      <c r="K39" s="28" t="e">
        <f>SUM(#REF!,#REF!,#REF!,#REF!,#REF!,#REF!,#REF!,#REF!,#REF!,#REF!,#REF!,#REF!,#REF!,#REF!,#REF!)-#REF!</f>
        <v>#REF!</v>
      </c>
      <c r="L39" s="28" t="e">
        <f>SUM(#REF!,#REF!,#REF!,#REF!,#REF!,#REF!,#REF!,#REF!,#REF!,#REF!,#REF!,#REF!,#REF!,#REF!,#REF!)-#REF!</f>
        <v>#REF!</v>
      </c>
      <c r="M39" s="28" t="e">
        <f>SUM(#REF!,#REF!,#REF!,#REF!,#REF!,#REF!,#REF!,#REF!,#REF!,#REF!,#REF!,#REF!,#REF!,#REF!,#REF!)-#REF!</f>
        <v>#REF!</v>
      </c>
      <c r="N39" s="25" t="e">
        <f>SUM(#REF!,#REF!,#REF!,#REF!,#REF!,#REF!,#REF!,#REF!,#REF!,#REF!,#REF!,#REF!,#REF!,#REF!,#REF!)-#REF!</f>
        <v>#REF!</v>
      </c>
      <c r="O39" s="26" t="e">
        <f>SUM(#REF!,#REF!,#REF!,#REF!,#REF!,#REF!,#REF!,#REF!,#REF!,#REF!,#REF!,#REF!,#REF!,#REF!,#REF!)-#REF!</f>
        <v>#REF!</v>
      </c>
      <c r="P39" s="26" t="e">
        <f>SUM(#REF!,#REF!,#REF!,#REF!,#REF!,#REF!,#REF!,#REF!,#REF!,#REF!,#REF!,#REF!,#REF!,#REF!,#REF!)-#REF!</f>
        <v>#REF!</v>
      </c>
      <c r="Q39" s="26" t="e">
        <f>SUM(#REF!,#REF!,#REF!,#REF!,#REF!,#REF!,#REF!,#REF!,#REF!,#REF!,#REF!,#REF!,#REF!,#REF!,#REF!)-#REF!</f>
        <v>#REF!</v>
      </c>
    </row>
    <row r="40" spans="1:61">
      <c r="A40" s="34" t="s">
        <v>32</v>
      </c>
      <c r="B40" s="230"/>
      <c r="C40" s="64">
        <v>2953</v>
      </c>
      <c r="D40" s="64">
        <v>5475</v>
      </c>
      <c r="E40" s="64">
        <v>5881.2855840000002</v>
      </c>
      <c r="F40" s="64">
        <v>14581.465446999999</v>
      </c>
      <c r="G40" s="64">
        <v>4578</v>
      </c>
      <c r="H40" s="64">
        <v>4762</v>
      </c>
      <c r="I40" s="179">
        <v>6018</v>
      </c>
      <c r="J40" s="173" t="e">
        <f t="shared" ref="D40:J40" si="10">SUM(J36:J39)</f>
        <v>#REF!</v>
      </c>
      <c r="K40" s="65" t="e">
        <f t="shared" ref="K40:Q40" si="11">SUM(K36:K39)</f>
        <v>#REF!</v>
      </c>
      <c r="L40" s="65" t="e">
        <f t="shared" si="11"/>
        <v>#REF!</v>
      </c>
      <c r="M40" s="65" t="e">
        <f t="shared" si="11"/>
        <v>#REF!</v>
      </c>
      <c r="N40" s="66" t="e">
        <f t="shared" si="11"/>
        <v>#REF!</v>
      </c>
      <c r="O40" s="67" t="e">
        <f t="shared" si="11"/>
        <v>#REF!</v>
      </c>
      <c r="P40" s="67" t="e">
        <f t="shared" si="11"/>
        <v>#REF!</v>
      </c>
      <c r="Q40" s="67" t="e">
        <f t="shared" si="11"/>
        <v>#REF!</v>
      </c>
    </row>
    <row r="41" spans="1:61" s="40" customFormat="1">
      <c r="A41" s="35" t="s">
        <v>22</v>
      </c>
      <c r="B41" s="231"/>
      <c r="C41" s="50">
        <v>18260</v>
      </c>
      <c r="D41" s="50">
        <v>18220</v>
      </c>
      <c r="E41" s="50">
        <v>21423.762174</v>
      </c>
      <c r="F41" s="50">
        <v>26864.099894999999</v>
      </c>
      <c r="G41" s="50">
        <v>15245</v>
      </c>
      <c r="H41" s="50">
        <v>13835</v>
      </c>
      <c r="I41" s="170">
        <v>14270</v>
      </c>
      <c r="J41" s="172" t="e">
        <f t="shared" ref="D41:J41" si="12">J35+J40</f>
        <v>#REF!</v>
      </c>
      <c r="K41" s="51" t="e">
        <f t="shared" ref="K41:Q41" si="13">K35+K40</f>
        <v>#REF!</v>
      </c>
      <c r="L41" s="51" t="e">
        <f t="shared" si="13"/>
        <v>#REF!</v>
      </c>
      <c r="M41" s="51" t="e">
        <f t="shared" si="13"/>
        <v>#REF!</v>
      </c>
      <c r="N41" s="38" t="e">
        <f t="shared" si="13"/>
        <v>#REF!</v>
      </c>
      <c r="O41" s="39" t="e">
        <f t="shared" si="13"/>
        <v>#REF!</v>
      </c>
      <c r="P41" s="39" t="e">
        <f t="shared" si="13"/>
        <v>#REF!</v>
      </c>
      <c r="Q41" s="39" t="e">
        <f t="shared" si="13"/>
        <v>#REF!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</row>
    <row r="42" spans="1:61">
      <c r="A42" s="34" t="s">
        <v>23</v>
      </c>
      <c r="B42" s="230"/>
      <c r="C42" s="60">
        <v>-6520</v>
      </c>
      <c r="D42" s="60">
        <v>-6307</v>
      </c>
      <c r="E42" s="60">
        <v>-6354.04</v>
      </c>
      <c r="F42" s="60">
        <v>-5615.4795430000004</v>
      </c>
      <c r="G42" s="60">
        <v>-5484</v>
      </c>
      <c r="H42" s="60">
        <v>-4507</v>
      </c>
      <c r="I42" s="178">
        <v>-4220</v>
      </c>
      <c r="J42" s="171" t="e">
        <f>-#REF!</f>
        <v>#REF!</v>
      </c>
      <c r="K42" s="61" t="e">
        <f>-#REF!</f>
        <v>#REF!</v>
      </c>
      <c r="L42" s="61" t="e">
        <f>-#REF!</f>
        <v>#REF!</v>
      </c>
      <c r="M42" s="61" t="e">
        <f>-#REF!</f>
        <v>#REF!</v>
      </c>
      <c r="N42" s="62" t="e">
        <f>-#REF!</f>
        <v>#REF!</v>
      </c>
      <c r="O42" s="63" t="e">
        <f>-#REF!</f>
        <v>#REF!</v>
      </c>
      <c r="P42" s="63" t="e">
        <f>-#REF!</f>
        <v>#REF!</v>
      </c>
      <c r="Q42" s="63" t="e">
        <f>-#REF!</f>
        <v>#REF!</v>
      </c>
    </row>
    <row r="43" spans="1:61">
      <c r="A43" s="34" t="s">
        <v>25</v>
      </c>
      <c r="B43" s="230"/>
      <c r="C43" s="60">
        <v>-7179</v>
      </c>
      <c r="D43" s="60">
        <v>-6159</v>
      </c>
      <c r="E43" s="60">
        <v>-4883.4734349999999</v>
      </c>
      <c r="F43" s="60">
        <v>-4836.8408760000002</v>
      </c>
      <c r="G43" s="60">
        <v>-3870</v>
      </c>
      <c r="H43" s="60">
        <v>-3367</v>
      </c>
      <c r="I43" s="178">
        <v>-3192</v>
      </c>
      <c r="J43" s="171" t="e">
        <f>-#REF!</f>
        <v>#REF!</v>
      </c>
      <c r="K43" s="61" t="e">
        <f>-(SUM(#REF!,#REF!,#REF!,#REF!,#REF!,#REF!,#REF!,#REF!,#REF!,#REF!,#REF!,#REF!,#REF!))</f>
        <v>#REF!</v>
      </c>
      <c r="L43" s="61" t="e">
        <f>-(SUM(#REF!,#REF!,#REF!,#REF!,#REF!,#REF!,#REF!,#REF!,#REF!,#REF!,#REF!,#REF!,#REF!))</f>
        <v>#REF!</v>
      </c>
      <c r="M43" s="61" t="e">
        <f>-(SUM(#REF!,#REF!,#REF!,#REF!,#REF!,#REF!,#REF!,#REF!,#REF!,#REF!,#REF!,#REF!,#REF!))</f>
        <v>#REF!</v>
      </c>
      <c r="N43" s="62" t="e">
        <f>-(SUM(#REF!,#REF!,#REF!,#REF!,#REF!,#REF!,#REF!,#REF!,#REF!,#REF!,#REF!,#REF!,#REF!))</f>
        <v>#REF!</v>
      </c>
      <c r="O43" s="63" t="e">
        <f>-(SUM(#REF!,#REF!,#REF!,#REF!,#REF!,#REF!,#REF!,#REF!,#REF!,#REF!,#REF!,#REF!,#REF!))</f>
        <v>#REF!</v>
      </c>
      <c r="P43" s="63" t="e">
        <f>-(SUM(#REF!,#REF!,#REF!,#REF!,#REF!,#REF!,#REF!,#REF!,#REF!,#REF!,#REF!,#REF!,#REF!))</f>
        <v>#REF!</v>
      </c>
      <c r="Q43" s="63" t="e">
        <f>-(SUM(#REF!,#REF!,#REF!,#REF!,#REF!,#REF!,#REF!,#REF!,#REF!,#REF!,#REF!,#REF!,#REF!))</f>
        <v>#REF!</v>
      </c>
    </row>
    <row r="44" spans="1:61">
      <c r="A44" s="34" t="s">
        <v>77</v>
      </c>
      <c r="B44" s="230"/>
      <c r="C44" s="60">
        <v>-1709</v>
      </c>
      <c r="D44" s="60">
        <v>-2149</v>
      </c>
      <c r="E44" s="60">
        <v>-1985.019945</v>
      </c>
      <c r="F44" s="60">
        <v>-1818.3588090000001</v>
      </c>
      <c r="G44" s="60">
        <v>-603</v>
      </c>
      <c r="H44" s="60">
        <v>-591</v>
      </c>
      <c r="I44" s="178">
        <v>-618</v>
      </c>
      <c r="J44" s="171" t="e">
        <f>-#REF!</f>
        <v>#REF!</v>
      </c>
      <c r="K44" s="61" t="e">
        <f>-(#REF!+#REF!+#REF!+#REF!)</f>
        <v>#REF!</v>
      </c>
      <c r="L44" s="61" t="e">
        <f>-(#REF!+#REF!+#REF!+#REF!)</f>
        <v>#REF!</v>
      </c>
      <c r="M44" s="61" t="e">
        <f>-(#REF!+#REF!+#REF!+#REF!)</f>
        <v>#REF!</v>
      </c>
      <c r="N44" s="62" t="e">
        <f>-(#REF!+#REF!+#REF!+#REF!)</f>
        <v>#REF!</v>
      </c>
      <c r="O44" s="63" t="e">
        <f>-(#REF!+#REF!+#REF!+#REF!)</f>
        <v>#REF!</v>
      </c>
      <c r="P44" s="63" t="e">
        <f>-(#REF!+#REF!+#REF!+#REF!)</f>
        <v>#REF!</v>
      </c>
      <c r="Q44" s="63" t="e">
        <f>-(#REF!+#REF!+#REF!+#REF!)</f>
        <v>#REF!</v>
      </c>
    </row>
    <row r="45" spans="1:61" s="40" customFormat="1">
      <c r="A45" s="35" t="s">
        <v>24</v>
      </c>
      <c r="B45" s="231"/>
      <c r="C45" s="68">
        <v>-15408</v>
      </c>
      <c r="D45" s="68">
        <v>-14615</v>
      </c>
      <c r="E45" s="68">
        <v>-13222.533380000001</v>
      </c>
      <c r="F45" s="68">
        <v>-12270.679227999999</v>
      </c>
      <c r="G45" s="68">
        <v>-9957</v>
      </c>
      <c r="H45" s="68">
        <v>-8465</v>
      </c>
      <c r="I45" s="180">
        <v>-8030</v>
      </c>
      <c r="J45" s="174" t="e">
        <f t="shared" ref="D45:J45" si="14">J42+J43+J44</f>
        <v>#REF!</v>
      </c>
      <c r="K45" s="69" t="e">
        <f t="shared" ref="K45:Q45" si="15">K42+K43+K44</f>
        <v>#REF!</v>
      </c>
      <c r="L45" s="69" t="e">
        <f t="shared" si="15"/>
        <v>#REF!</v>
      </c>
      <c r="M45" s="69" t="e">
        <f t="shared" si="15"/>
        <v>#REF!</v>
      </c>
      <c r="N45" s="70" t="e">
        <f t="shared" si="15"/>
        <v>#REF!</v>
      </c>
      <c r="O45" s="71" t="e">
        <f t="shared" si="15"/>
        <v>#REF!</v>
      </c>
      <c r="P45" s="71" t="e">
        <f t="shared" si="15"/>
        <v>#REF!</v>
      </c>
      <c r="Q45" s="71" t="e">
        <f t="shared" si="15"/>
        <v>#REF!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</row>
    <row r="46" spans="1:61" s="40" customFormat="1">
      <c r="A46" s="35" t="s">
        <v>35</v>
      </c>
      <c r="B46" s="231"/>
      <c r="C46" s="50">
        <v>2852</v>
      </c>
      <c r="D46" s="50">
        <v>3605</v>
      </c>
      <c r="E46" s="50">
        <v>8201.2287939999987</v>
      </c>
      <c r="F46" s="50">
        <v>14593.420667</v>
      </c>
      <c r="G46" s="50">
        <v>5288</v>
      </c>
      <c r="H46" s="50">
        <v>5370</v>
      </c>
      <c r="I46" s="170">
        <v>6240</v>
      </c>
      <c r="J46" s="172" t="e">
        <f t="shared" ref="D46:J46" si="16">J41+J45</f>
        <v>#REF!</v>
      </c>
      <c r="K46" s="51" t="e">
        <f t="shared" ref="K46:Q46" si="17">K41+K45</f>
        <v>#REF!</v>
      </c>
      <c r="L46" s="51" t="e">
        <f t="shared" si="17"/>
        <v>#REF!</v>
      </c>
      <c r="M46" s="51" t="e">
        <f t="shared" si="17"/>
        <v>#REF!</v>
      </c>
      <c r="N46" s="38" t="e">
        <f t="shared" si="17"/>
        <v>#REF!</v>
      </c>
      <c r="O46" s="39" t="e">
        <f t="shared" si="17"/>
        <v>#REF!</v>
      </c>
      <c r="P46" s="39" t="e">
        <f t="shared" si="17"/>
        <v>#REF!</v>
      </c>
      <c r="Q46" s="39" t="e">
        <f t="shared" si="17"/>
        <v>#REF!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</row>
    <row r="47" spans="1:61">
      <c r="A47" s="34" t="s">
        <v>65</v>
      </c>
      <c r="B47" s="230"/>
      <c r="C47" s="60">
        <v>-1269</v>
      </c>
      <c r="D47" s="60">
        <v>-1518</v>
      </c>
      <c r="E47" s="60">
        <v>-1057.1116010000001</v>
      </c>
      <c r="F47" s="60">
        <v>-6815.9195739999996</v>
      </c>
      <c r="G47" s="60">
        <v>1168</v>
      </c>
      <c r="H47" s="60">
        <v>-13458</v>
      </c>
      <c r="I47" s="178">
        <v>-60</v>
      </c>
      <c r="J47" s="171" t="e">
        <f>-#REF!</f>
        <v>#REF!</v>
      </c>
      <c r="K47" s="61" t="e">
        <f>-(#REF!+#REF!-#REF!)</f>
        <v>#REF!</v>
      </c>
      <c r="L47" s="61" t="e">
        <f>-(#REF!+#REF!-#REF!)</f>
        <v>#REF!</v>
      </c>
      <c r="M47" s="61" t="e">
        <f>-(#REF!+#REF!-#REF!)</f>
        <v>#REF!</v>
      </c>
      <c r="N47" s="62" t="e">
        <f>-(#REF!+#REF!-#REF!)</f>
        <v>#REF!</v>
      </c>
      <c r="O47" s="63" t="e">
        <f>-(#REF!+#REF!-#REF!)</f>
        <v>#REF!</v>
      </c>
      <c r="P47" s="63" t="e">
        <f>-(#REF!+#REF!-#REF!)</f>
        <v>#REF!</v>
      </c>
      <c r="Q47" s="63" t="e">
        <f>-(#REF!+#REF!-#REF!)</f>
        <v>#REF!</v>
      </c>
    </row>
    <row r="48" spans="1:61">
      <c r="A48" s="34" t="s">
        <v>26</v>
      </c>
      <c r="B48" s="230"/>
      <c r="C48" s="72">
        <v>150</v>
      </c>
      <c r="D48" s="72">
        <v>45</v>
      </c>
      <c r="E48" s="72">
        <v>71</v>
      </c>
      <c r="F48" s="72">
        <v>118.531505</v>
      </c>
      <c r="G48" s="72">
        <v>-658</v>
      </c>
      <c r="H48" s="72">
        <v>96</v>
      </c>
      <c r="I48" s="181">
        <v>390</v>
      </c>
      <c r="J48" s="175" t="e">
        <f>+#REF!</f>
        <v>#REF!</v>
      </c>
      <c r="K48" s="61" t="e">
        <f>SUM(#REF!,#REF!,#REF!)-SUM(#REF!,#REF!)+SUM(#REF!,#REF!,#REF!,#REF!,#REF!,#REF!,#REF!,#REF!)-#REF!-#REF!</f>
        <v>#REF!</v>
      </c>
      <c r="L48" s="73" t="e">
        <f>SUM(#REF!,#REF!,#REF!)-SUM(#REF!,#REF!)+SUM(#REF!,#REF!,#REF!,#REF!,#REF!,#REF!,#REF!,#REF!)-#REF!-#REF!</f>
        <v>#REF!</v>
      </c>
      <c r="M48" s="73" t="e">
        <f>SUM(#REF!,#REF!,#REF!)-SUM(#REF!,#REF!)+SUM(#REF!,#REF!,#REF!,#REF!,#REF!,#REF!,#REF!,#REF!)-#REF!-#REF!</f>
        <v>#REF!</v>
      </c>
      <c r="N48" s="74" t="e">
        <f>SUM(#REF!,#REF!,#REF!)-SUM(#REF!,#REF!)+SUM(#REF!,#REF!,#REF!,#REF!,#REF!,#REF!,#REF!,#REF!)-#REF!-#REF!</f>
        <v>#REF!</v>
      </c>
      <c r="O48" s="63" t="e">
        <f>SUM(#REF!,#REF!,#REF!)-SUM(#REF!,#REF!)+SUM(#REF!,#REF!,#REF!,#REF!,#REF!,#REF!,#REF!,#REF!)-#REF!-#REF!</f>
        <v>#REF!</v>
      </c>
      <c r="P48" s="63" t="e">
        <f>SUM(#REF!,#REF!,#REF!)-SUM(#REF!,#REF!)+SUM(#REF!,#REF!,#REF!,#REF!,#REF!,#REF!,#REF!,#REF!)-#REF!-#REF!</f>
        <v>#REF!</v>
      </c>
      <c r="Q48" s="63" t="e">
        <f>SUM(#REF!,#REF!,#REF!)-SUM(#REF!,#REF!)+SUM(#REF!,#REF!,#REF!,#REF!,#REF!,#REF!,#REF!,#REF!)-#REF!-#REF!</f>
        <v>#REF!</v>
      </c>
    </row>
    <row r="49" spans="1:61">
      <c r="A49" s="34" t="s">
        <v>27</v>
      </c>
      <c r="B49" s="230"/>
      <c r="C49" s="64">
        <v>1733</v>
      </c>
      <c r="D49" s="64">
        <v>2132</v>
      </c>
      <c r="E49" s="64">
        <v>7215.1171929999982</v>
      </c>
      <c r="F49" s="64">
        <v>7896.0325980000007</v>
      </c>
      <c r="G49" s="64">
        <v>5798</v>
      </c>
      <c r="H49" s="64">
        <v>-7992</v>
      </c>
      <c r="I49" s="179">
        <v>6570</v>
      </c>
      <c r="J49" s="173" t="e">
        <f t="shared" ref="D49:J49" si="18">J46+J47+J48</f>
        <v>#REF!</v>
      </c>
      <c r="K49" s="65" t="e">
        <f t="shared" ref="K49:Q49" si="19">K46+K47+K48</f>
        <v>#REF!</v>
      </c>
      <c r="L49" s="65" t="e">
        <f t="shared" si="19"/>
        <v>#REF!</v>
      </c>
      <c r="M49" s="65" t="e">
        <f t="shared" si="19"/>
        <v>#REF!</v>
      </c>
      <c r="N49" s="66" t="e">
        <f t="shared" si="19"/>
        <v>#REF!</v>
      </c>
      <c r="O49" s="67" t="e">
        <f t="shared" si="19"/>
        <v>#REF!</v>
      </c>
      <c r="P49" s="67" t="e">
        <f t="shared" si="19"/>
        <v>#REF!</v>
      </c>
      <c r="Q49" s="67" t="e">
        <f t="shared" si="19"/>
        <v>#REF!</v>
      </c>
    </row>
    <row r="50" spans="1:61">
      <c r="A50" s="34" t="s">
        <v>28</v>
      </c>
      <c r="B50" s="230"/>
      <c r="C50" s="60">
        <v>-417</v>
      </c>
      <c r="D50" s="60">
        <v>-451</v>
      </c>
      <c r="E50" s="60">
        <v>-1990</v>
      </c>
      <c r="F50" s="60">
        <v>-1588.2493079999999</v>
      </c>
      <c r="G50" s="60">
        <v>-5</v>
      </c>
      <c r="H50" s="60">
        <v>-5</v>
      </c>
      <c r="I50" s="178">
        <v>-1520</v>
      </c>
      <c r="J50" s="171" t="e">
        <f>-#REF!</f>
        <v>#REF!</v>
      </c>
      <c r="K50" s="61" t="e">
        <f>-(#REF!+#REF!+#REF!)</f>
        <v>#REF!</v>
      </c>
      <c r="L50" s="61" t="e">
        <f>-(#REF!+#REF!+#REF!)</f>
        <v>#REF!</v>
      </c>
      <c r="M50" s="61" t="e">
        <f>-(#REF!+#REF!+#REF!)</f>
        <v>#REF!</v>
      </c>
      <c r="N50" s="62" t="e">
        <f>-(#REF!+#REF!+#REF!)</f>
        <v>#REF!</v>
      </c>
      <c r="O50" s="63" t="e">
        <f>-(#REF!+#REF!+#REF!)</f>
        <v>#REF!</v>
      </c>
      <c r="P50" s="63" t="e">
        <f>-(#REF!+#REF!+#REF!)</f>
        <v>#REF!</v>
      </c>
      <c r="Q50" s="63" t="e">
        <f>-(#REF!+#REF!+#REF!)</f>
        <v>#REF!</v>
      </c>
    </row>
    <row r="51" spans="1:61" s="40" customFormat="1">
      <c r="A51" s="35" t="s">
        <v>29</v>
      </c>
      <c r="B51" s="231"/>
      <c r="C51" s="50">
        <v>1316</v>
      </c>
      <c r="D51" s="50">
        <v>1681</v>
      </c>
      <c r="E51" s="50">
        <v>5225.1171929999982</v>
      </c>
      <c r="F51" s="50">
        <v>6307.7832900000012</v>
      </c>
      <c r="G51" s="50">
        <v>5793</v>
      </c>
      <c r="H51" s="50">
        <v>-7997</v>
      </c>
      <c r="I51" s="170">
        <v>5050</v>
      </c>
      <c r="J51" s="172" t="e">
        <f t="shared" ref="D51:J51" si="20">J49+J50</f>
        <v>#REF!</v>
      </c>
      <c r="K51" s="51" t="e">
        <f t="shared" ref="K51:Q51" si="21">K49+K50</f>
        <v>#REF!</v>
      </c>
      <c r="L51" s="51" t="e">
        <f t="shared" si="21"/>
        <v>#REF!</v>
      </c>
      <c r="M51" s="51" t="e">
        <f t="shared" si="21"/>
        <v>#REF!</v>
      </c>
      <c r="N51" s="38" t="e">
        <f t="shared" si="21"/>
        <v>#REF!</v>
      </c>
      <c r="O51" s="39" t="e">
        <f t="shared" si="21"/>
        <v>#REF!</v>
      </c>
      <c r="P51" s="39" t="e">
        <f t="shared" si="21"/>
        <v>#REF!</v>
      </c>
      <c r="Q51" s="39" t="e">
        <f t="shared" si="21"/>
        <v>#REF!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</row>
    <row r="52" spans="1:61">
      <c r="A52" s="34" t="s">
        <v>14</v>
      </c>
      <c r="B52" s="230"/>
      <c r="C52" s="48"/>
      <c r="D52" s="48"/>
      <c r="E52" s="48"/>
      <c r="F52" s="48"/>
      <c r="G52" s="48"/>
      <c r="H52" s="48"/>
      <c r="I52" s="169"/>
      <c r="J52" s="163"/>
      <c r="K52" s="28" t="e">
        <f>#REF!</f>
        <v>#REF!</v>
      </c>
      <c r="L52" s="28" t="e">
        <f>#REF!</f>
        <v>#REF!</v>
      </c>
      <c r="M52" s="28" t="e">
        <f>#REF!</f>
        <v>#REF!</v>
      </c>
      <c r="N52" s="25" t="e">
        <f>#REF!</f>
        <v>#REF!</v>
      </c>
      <c r="O52" s="26" t="e">
        <f>#REF!</f>
        <v>#REF!</v>
      </c>
      <c r="P52" s="26" t="e">
        <f>#REF!</f>
        <v>#REF!</v>
      </c>
      <c r="Q52" s="26" t="e">
        <f>#REF!</f>
        <v>#REF!</v>
      </c>
    </row>
    <row r="53" spans="1:61">
      <c r="A53" s="34" t="s">
        <v>30</v>
      </c>
      <c r="B53" s="230"/>
      <c r="C53" s="64">
        <v>1316</v>
      </c>
      <c r="D53" s="64">
        <v>1681</v>
      </c>
      <c r="E53" s="64">
        <v>5225.1171929999982</v>
      </c>
      <c r="F53" s="64">
        <v>6307.7832900000012</v>
      </c>
      <c r="G53" s="64">
        <v>5793</v>
      </c>
      <c r="H53" s="64">
        <v>-7997</v>
      </c>
      <c r="I53" s="179">
        <v>5050</v>
      </c>
      <c r="J53" s="173" t="e">
        <f t="shared" ref="D53:J53" si="22">J51+J52</f>
        <v>#REF!</v>
      </c>
      <c r="K53" s="65" t="e">
        <f t="shared" ref="K53:Q53" si="23">K51+K52</f>
        <v>#REF!</v>
      </c>
      <c r="L53" s="65" t="e">
        <f t="shared" si="23"/>
        <v>#REF!</v>
      </c>
      <c r="M53" s="65" t="e">
        <f t="shared" si="23"/>
        <v>#REF!</v>
      </c>
      <c r="N53" s="66" t="e">
        <f t="shared" si="23"/>
        <v>#REF!</v>
      </c>
      <c r="O53" s="67" t="e">
        <f t="shared" si="23"/>
        <v>#REF!</v>
      </c>
      <c r="P53" s="67" t="e">
        <f t="shared" si="23"/>
        <v>#REF!</v>
      </c>
      <c r="Q53" s="67" t="e">
        <f t="shared" si="23"/>
        <v>#REF!</v>
      </c>
    </row>
    <row r="54" spans="1:61">
      <c r="A54" s="155"/>
      <c r="B54" s="234"/>
      <c r="C54" s="156">
        <v>0</v>
      </c>
      <c r="D54" s="156">
        <v>0</v>
      </c>
      <c r="E54" s="156">
        <v>0</v>
      </c>
      <c r="F54" s="156">
        <v>0</v>
      </c>
      <c r="G54" s="156">
        <v>0</v>
      </c>
      <c r="H54" s="156">
        <v>0</v>
      </c>
      <c r="I54" s="182">
        <v>0</v>
      </c>
      <c r="J54" s="176" t="e">
        <f>+J53-#REF!</f>
        <v>#REF!</v>
      </c>
      <c r="K54" s="77" t="e">
        <f>K27-L27</f>
        <v>#REF!</v>
      </c>
      <c r="L54" s="77" t="e">
        <f>L27-M27</f>
        <v>#REF!</v>
      </c>
      <c r="M54" s="77" t="e">
        <f>M27-N27</f>
        <v>#REF!</v>
      </c>
      <c r="N54" s="78" t="e">
        <f>N27-O27</f>
        <v>#REF!</v>
      </c>
      <c r="O54" s="75"/>
      <c r="P54" s="75"/>
      <c r="Q54" s="75"/>
    </row>
    <row r="55" spans="1:61" s="82" customFormat="1">
      <c r="A55" s="79"/>
      <c r="B55" s="79"/>
      <c r="C55" s="79"/>
      <c r="D55" s="79"/>
      <c r="E55" s="2"/>
      <c r="F55" s="2"/>
      <c r="G55" s="2"/>
      <c r="H55" s="2"/>
      <c r="I55" s="2"/>
      <c r="J55" s="2"/>
      <c r="K55" s="80"/>
      <c r="L55" s="81"/>
      <c r="M55" s="80"/>
      <c r="N55" s="81"/>
      <c r="O55" s="81"/>
      <c r="P55" s="81"/>
      <c r="Q55" s="81"/>
      <c r="R55" s="249"/>
      <c r="S55" s="249"/>
      <c r="T55" s="249"/>
      <c r="U55" s="249"/>
      <c r="V55" s="249"/>
      <c r="W55" s="249"/>
      <c r="X55" s="249"/>
      <c r="Y55" s="249"/>
      <c r="Z55" s="249"/>
      <c r="AA55" s="249"/>
      <c r="AB55" s="249"/>
      <c r="AC55" s="249"/>
      <c r="AD55" s="249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49"/>
      <c r="AU55" s="249"/>
      <c r="AV55" s="249"/>
      <c r="AW55" s="249"/>
      <c r="AX55" s="249"/>
      <c r="AY55" s="249"/>
      <c r="AZ55" s="249"/>
      <c r="BA55" s="249"/>
      <c r="BB55" s="249"/>
      <c r="BC55" s="249"/>
      <c r="BD55" s="249"/>
      <c r="BE55" s="249"/>
      <c r="BF55" s="249"/>
      <c r="BG55" s="249"/>
      <c r="BH55" s="249"/>
      <c r="BI55" s="249"/>
    </row>
    <row r="56" spans="1:61" s="17" customFormat="1">
      <c r="A56" s="12" t="s">
        <v>75</v>
      </c>
      <c r="B56" s="225"/>
      <c r="C56" s="13">
        <v>2020</v>
      </c>
      <c r="D56" s="13">
        <v>2019</v>
      </c>
      <c r="E56" s="13">
        <v>2018</v>
      </c>
      <c r="F56" s="13">
        <v>2017</v>
      </c>
      <c r="G56" s="13">
        <v>2016</v>
      </c>
      <c r="H56" s="13">
        <v>2015</v>
      </c>
      <c r="I56" s="164">
        <v>2014</v>
      </c>
      <c r="J56" s="13">
        <v>2013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5" t="e">
        <f>#REF!</f>
        <v>#REF!</v>
      </c>
      <c r="O56" s="84"/>
      <c r="P56" s="84"/>
      <c r="Q56" s="84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</row>
    <row r="57" spans="1:61" s="3" customFormat="1">
      <c r="A57" s="44"/>
      <c r="B57" s="85"/>
      <c r="C57" s="85"/>
      <c r="D57" s="85"/>
      <c r="E57" s="85"/>
      <c r="F57" s="85"/>
      <c r="G57" s="85"/>
      <c r="H57" s="85"/>
      <c r="I57" s="177"/>
      <c r="J57" s="157"/>
      <c r="K57" s="19"/>
      <c r="L57" s="19"/>
      <c r="M57" s="19"/>
      <c r="N57" s="20"/>
      <c r="O57" s="21"/>
      <c r="P57" s="21"/>
      <c r="Q57" s="21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</row>
    <row r="58" spans="1:61">
      <c r="A58" s="22" t="str">
        <f t="shared" ref="A58:A68" si="24">A5</f>
        <v>Caisse</v>
      </c>
      <c r="B58" s="235"/>
      <c r="C58" s="86">
        <v>38.897330149772088</v>
      </c>
      <c r="D58" s="86">
        <v>209.81842636180227</v>
      </c>
      <c r="E58" s="86">
        <v>-59.158773375676212</v>
      </c>
      <c r="F58" s="86">
        <v>163.07289328034682</v>
      </c>
      <c r="G58" s="86">
        <v>-1.6346837242359631</v>
      </c>
      <c r="H58" s="86">
        <v>-43.72</v>
      </c>
      <c r="I58" s="87">
        <v>52.905198776758411</v>
      </c>
      <c r="J58" s="183"/>
      <c r="K58" s="86" t="e">
        <f t="shared" ref="K58:N68" si="25">IF(OR(K5=0, K5="--", L5=0, L5="--"),"--",((K5-L5)/L5)*100)</f>
        <v>#REF!</v>
      </c>
      <c r="L58" s="86" t="e">
        <f t="shared" si="25"/>
        <v>#REF!</v>
      </c>
      <c r="M58" s="86" t="e">
        <f t="shared" si="25"/>
        <v>#REF!</v>
      </c>
      <c r="N58" s="87" t="e">
        <f t="shared" si="25"/>
        <v>#REF!</v>
      </c>
      <c r="O58" s="88"/>
      <c r="P58" s="88"/>
      <c r="Q58" s="88"/>
    </row>
    <row r="59" spans="1:61">
      <c r="A59" s="22" t="str">
        <f t="shared" si="24"/>
        <v>Créances interbancaires</v>
      </c>
      <c r="B59" s="235"/>
      <c r="C59" s="86">
        <v>-47.943774750859482</v>
      </c>
      <c r="D59" s="86">
        <v>66.141276841876945</v>
      </c>
      <c r="E59" s="86">
        <v>6.4299732434646995</v>
      </c>
      <c r="F59" s="86">
        <v>-33.493350552712378</v>
      </c>
      <c r="G59" s="86">
        <v>40.413912043690715</v>
      </c>
      <c r="H59" s="86">
        <v>-13.747365811330111</v>
      </c>
      <c r="I59" s="87">
        <v>30.417912860722655</v>
      </c>
      <c r="J59" s="183"/>
      <c r="K59" s="86" t="e">
        <f t="shared" si="25"/>
        <v>#REF!</v>
      </c>
      <c r="L59" s="86" t="e">
        <f t="shared" si="25"/>
        <v>#REF!</v>
      </c>
      <c r="M59" s="86" t="e">
        <f t="shared" si="25"/>
        <v>#REF!</v>
      </c>
      <c r="N59" s="87" t="e">
        <f t="shared" si="25"/>
        <v>#REF!</v>
      </c>
      <c r="O59" s="88"/>
      <c r="P59" s="88"/>
      <c r="Q59" s="88"/>
    </row>
    <row r="60" spans="1:61">
      <c r="A60" s="22" t="str">
        <f t="shared" si="24"/>
        <v>Titres de placement</v>
      </c>
      <c r="B60" s="235"/>
      <c r="C60" s="86">
        <v>43.321962739438469</v>
      </c>
      <c r="D60" s="86">
        <v>-10.964878124756638</v>
      </c>
      <c r="E60" s="86">
        <v>-3.6853603667224655</v>
      </c>
      <c r="F60" s="86">
        <v>97.472338843220015</v>
      </c>
      <c r="G60" s="86">
        <v>-31.24745417515275</v>
      </c>
      <c r="H60" s="86">
        <v>-42.035829176873357</v>
      </c>
      <c r="I60" s="87">
        <v>-17.783655246044841</v>
      </c>
      <c r="J60" s="183"/>
      <c r="K60" s="86" t="e">
        <f t="shared" si="25"/>
        <v>#REF!</v>
      </c>
      <c r="L60" s="86" t="e">
        <f t="shared" si="25"/>
        <v>#REF!</v>
      </c>
      <c r="M60" s="86" t="e">
        <f t="shared" si="25"/>
        <v>#REF!</v>
      </c>
      <c r="N60" s="87" t="e">
        <f t="shared" si="25"/>
        <v>#REF!</v>
      </c>
      <c r="O60" s="88"/>
      <c r="P60" s="88"/>
      <c r="Q60" s="88"/>
    </row>
    <row r="61" spans="1:61">
      <c r="A61" s="22" t="str">
        <f t="shared" si="24"/>
        <v>Autres titres</v>
      </c>
      <c r="B61" s="235"/>
      <c r="C61" s="86" t="s">
        <v>74</v>
      </c>
      <c r="D61" s="86" t="s">
        <v>74</v>
      </c>
      <c r="E61" s="86" t="s">
        <v>74</v>
      </c>
      <c r="F61" s="86" t="s">
        <v>74</v>
      </c>
      <c r="G61" s="86" t="s">
        <v>74</v>
      </c>
      <c r="H61" s="86" t="s">
        <v>74</v>
      </c>
      <c r="I61" s="87" t="s">
        <v>74</v>
      </c>
      <c r="J61" s="183"/>
      <c r="K61" s="86" t="e">
        <f t="shared" si="25"/>
        <v>#REF!</v>
      </c>
      <c r="L61" s="86" t="e">
        <f t="shared" si="25"/>
        <v>#REF!</v>
      </c>
      <c r="M61" s="86" t="e">
        <f t="shared" si="25"/>
        <v>#REF!</v>
      </c>
      <c r="N61" s="87" t="e">
        <f t="shared" si="25"/>
        <v>#REF!</v>
      </c>
      <c r="O61" s="88"/>
      <c r="P61" s="88"/>
      <c r="Q61" s="88"/>
    </row>
    <row r="62" spans="1:61">
      <c r="A62" s="22" t="str">
        <f t="shared" si="24"/>
        <v>Créances brutes sur la clientèle</v>
      </c>
      <c r="B62" s="235"/>
      <c r="C62" s="86">
        <v>7.9693535320579638</v>
      </c>
      <c r="D62" s="86">
        <v>10.126025184039133</v>
      </c>
      <c r="E62" s="86">
        <v>9.3976626721674901</v>
      </c>
      <c r="F62" s="86">
        <v>6.5435206369902144</v>
      </c>
      <c r="G62" s="86">
        <v>16.446356750105114</v>
      </c>
      <c r="H62" s="86" t="s">
        <v>74</v>
      </c>
      <c r="I62" s="87" t="s">
        <v>74</v>
      </c>
      <c r="J62" s="183"/>
      <c r="K62" s="86" t="e">
        <f t="shared" si="25"/>
        <v>#REF!</v>
      </c>
      <c r="L62" s="86" t="e">
        <f t="shared" si="25"/>
        <v>#REF!</v>
      </c>
      <c r="M62" s="86" t="e">
        <f t="shared" si="25"/>
        <v>#REF!</v>
      </c>
      <c r="N62" s="87" t="e">
        <f t="shared" si="25"/>
        <v>#REF!</v>
      </c>
      <c r="O62" s="88"/>
      <c r="P62" s="88"/>
      <c r="Q62" s="88"/>
    </row>
    <row r="63" spans="1:61">
      <c r="A63" s="22" t="str">
        <f t="shared" si="24"/>
        <v>Provisions pour créances en souffrance (PCS)</v>
      </c>
      <c r="B63" s="235"/>
      <c r="C63" s="86">
        <v>4.683218127530778</v>
      </c>
      <c r="D63" s="86">
        <v>-208.86949522519828</v>
      </c>
      <c r="E63" s="86">
        <v>3.2617500139324429</v>
      </c>
      <c r="F63" s="86">
        <v>0.66440587839512089</v>
      </c>
      <c r="G63" s="86">
        <v>-6.6023756703631529</v>
      </c>
      <c r="H63" s="86" t="s">
        <v>74</v>
      </c>
      <c r="I63" s="87" t="s">
        <v>74</v>
      </c>
      <c r="J63" s="183"/>
      <c r="K63" s="86" t="e">
        <f t="shared" si="25"/>
        <v>#REF!</v>
      </c>
      <c r="L63" s="86" t="e">
        <f t="shared" si="25"/>
        <v>#REF!</v>
      </c>
      <c r="M63" s="86" t="e">
        <f t="shared" si="25"/>
        <v>#REF!</v>
      </c>
      <c r="N63" s="87" t="e">
        <f t="shared" si="25"/>
        <v>#REF!</v>
      </c>
      <c r="O63" s="88"/>
      <c r="P63" s="88"/>
      <c r="Q63" s="88"/>
    </row>
    <row r="64" spans="1:61">
      <c r="A64" s="22" t="str">
        <f t="shared" si="24"/>
        <v>Créances nettes sur la clientèle</v>
      </c>
      <c r="B64" s="235"/>
      <c r="C64" s="86">
        <v>8.2076008824994666</v>
      </c>
      <c r="D64" s="86">
        <v>10.2182531832546</v>
      </c>
      <c r="E64" s="86">
        <v>9.8768838051218069</v>
      </c>
      <c r="F64" s="86">
        <v>7.0317291377186537</v>
      </c>
      <c r="G64" s="86">
        <v>18.882612953785831</v>
      </c>
      <c r="H64" s="86">
        <v>10.296009313952791</v>
      </c>
      <c r="I64" s="87">
        <v>9.5200507824359022</v>
      </c>
      <c r="J64" s="183"/>
      <c r="K64" s="86" t="e">
        <f t="shared" si="25"/>
        <v>#REF!</v>
      </c>
      <c r="L64" s="86" t="e">
        <f t="shared" si="25"/>
        <v>#REF!</v>
      </c>
      <c r="M64" s="86" t="e">
        <f t="shared" si="25"/>
        <v>#REF!</v>
      </c>
      <c r="N64" s="87" t="e">
        <f t="shared" si="25"/>
        <v>#REF!</v>
      </c>
      <c r="O64" s="88"/>
      <c r="P64" s="88"/>
      <c r="Q64" s="88"/>
    </row>
    <row r="65" spans="1:61">
      <c r="A65" s="22" t="str">
        <f t="shared" si="24"/>
        <v>Immobilisations financières</v>
      </c>
      <c r="B65" s="235"/>
      <c r="C65" s="86">
        <v>0.95518001469507718</v>
      </c>
      <c r="D65" s="86">
        <v>138.77192982456143</v>
      </c>
      <c r="E65" s="86">
        <v>-56.220704714932182</v>
      </c>
      <c r="F65" s="86">
        <v>-1.1271121351687718E-3</v>
      </c>
      <c r="G65" s="86">
        <v>-3.6982248520710059</v>
      </c>
      <c r="H65" s="86">
        <v>0</v>
      </c>
      <c r="I65" s="87">
        <v>0</v>
      </c>
      <c r="J65" s="183"/>
      <c r="K65" s="86" t="e">
        <f t="shared" si="25"/>
        <v>#REF!</v>
      </c>
      <c r="L65" s="86" t="e">
        <f t="shared" si="25"/>
        <v>#REF!</v>
      </c>
      <c r="M65" s="86" t="e">
        <f t="shared" si="25"/>
        <v>#REF!</v>
      </c>
      <c r="N65" s="87" t="e">
        <f t="shared" si="25"/>
        <v>#REF!</v>
      </c>
      <c r="O65" s="88"/>
      <c r="P65" s="88"/>
      <c r="Q65" s="88"/>
    </row>
    <row r="66" spans="1:61">
      <c r="A66" s="22" t="str">
        <f t="shared" si="24"/>
        <v>Actifs immobilisés corporels et incorporels</v>
      </c>
      <c r="B66" s="235"/>
      <c r="C66" s="86">
        <v>-0.11926432741196411</v>
      </c>
      <c r="D66" s="86">
        <v>5.8960382876894446</v>
      </c>
      <c r="E66" s="86">
        <v>13.995605061756461</v>
      </c>
      <c r="F66" s="86">
        <v>18.305692514567458</v>
      </c>
      <c r="G66" s="86">
        <v>11.138786489987048</v>
      </c>
      <c r="H66" s="86">
        <v>17.667057444314185</v>
      </c>
      <c r="I66" s="87">
        <v>58.875023281802939</v>
      </c>
      <c r="J66" s="183"/>
      <c r="K66" s="86" t="e">
        <f t="shared" si="25"/>
        <v>#REF!</v>
      </c>
      <c r="L66" s="86" t="e">
        <f t="shared" si="25"/>
        <v>#REF!</v>
      </c>
      <c r="M66" s="86" t="e">
        <f t="shared" si="25"/>
        <v>#REF!</v>
      </c>
      <c r="N66" s="87" t="e">
        <f t="shared" si="25"/>
        <v>#REF!</v>
      </c>
      <c r="O66" s="88"/>
      <c r="P66" s="88"/>
      <c r="Q66" s="88"/>
    </row>
    <row r="67" spans="1:61">
      <c r="A67" s="22" t="str">
        <f t="shared" si="24"/>
        <v>Autres actifs</v>
      </c>
      <c r="B67" s="235"/>
      <c r="C67" s="86">
        <v>191.22839620888311</v>
      </c>
      <c r="D67" s="86">
        <v>-33.44620220472197</v>
      </c>
      <c r="E67" s="86">
        <v>46.021311907631542</v>
      </c>
      <c r="F67" s="86">
        <v>-2.5434816333714676</v>
      </c>
      <c r="G67" s="86">
        <v>-13.451138700586487</v>
      </c>
      <c r="H67" s="86">
        <v>29.528413575374902</v>
      </c>
      <c r="I67" s="87">
        <v>33.544137022397891</v>
      </c>
      <c r="J67" s="183"/>
      <c r="K67" s="86" t="e">
        <f t="shared" si="25"/>
        <v>#REF!</v>
      </c>
      <c r="L67" s="86" t="e">
        <f t="shared" si="25"/>
        <v>#REF!</v>
      </c>
      <c r="M67" s="86" t="e">
        <f t="shared" si="25"/>
        <v>#REF!</v>
      </c>
      <c r="N67" s="87" t="e">
        <f t="shared" si="25"/>
        <v>#REF!</v>
      </c>
      <c r="O67" s="88"/>
      <c r="P67" s="88"/>
      <c r="Q67" s="88"/>
    </row>
    <row r="68" spans="1:61">
      <c r="A68" s="22" t="str">
        <f t="shared" si="24"/>
        <v>Total de l'actif (en millions de FCFA)</v>
      </c>
      <c r="B68" s="235"/>
      <c r="C68" s="86">
        <v>11.770379813821471</v>
      </c>
      <c r="D68" s="86">
        <v>9.7652648223873921</v>
      </c>
      <c r="E68" s="86">
        <v>9.04418765677792</v>
      </c>
      <c r="F68" s="86">
        <v>9.0829240148449291</v>
      </c>
      <c r="G68" s="86">
        <v>14.403775995501706</v>
      </c>
      <c r="H68" s="86">
        <v>2.721756653515278</v>
      </c>
      <c r="I68" s="87">
        <v>8.0787733252491076</v>
      </c>
      <c r="J68" s="183"/>
      <c r="K68" s="86" t="e">
        <f t="shared" si="25"/>
        <v>#REF!</v>
      </c>
      <c r="L68" s="86" t="e">
        <f t="shared" si="25"/>
        <v>#REF!</v>
      </c>
      <c r="M68" s="86" t="e">
        <f t="shared" si="25"/>
        <v>#REF!</v>
      </c>
      <c r="N68" s="87" t="e">
        <f t="shared" si="25"/>
        <v>#REF!</v>
      </c>
      <c r="O68" s="88"/>
      <c r="P68" s="88"/>
      <c r="Q68" s="88"/>
    </row>
    <row r="69" spans="1:61">
      <c r="A69" s="22"/>
      <c r="B69" s="235"/>
      <c r="C69" s="235"/>
      <c r="D69" s="235"/>
      <c r="E69" s="86"/>
      <c r="F69" s="86"/>
      <c r="G69" s="86"/>
      <c r="H69" s="86"/>
      <c r="I69" s="87"/>
      <c r="J69" s="183"/>
      <c r="K69" s="86"/>
      <c r="L69" s="86"/>
      <c r="M69" s="86"/>
      <c r="N69" s="87"/>
      <c r="O69" s="88"/>
      <c r="P69" s="88"/>
      <c r="Q69" s="88"/>
    </row>
    <row r="70" spans="1:61" s="3" customFormat="1">
      <c r="A70" s="244"/>
      <c r="B70" s="89"/>
      <c r="C70" s="89"/>
      <c r="D70" s="89"/>
      <c r="E70" s="89"/>
      <c r="F70" s="89"/>
      <c r="G70" s="89"/>
      <c r="H70" s="89"/>
      <c r="I70" s="186"/>
      <c r="J70" s="184"/>
      <c r="K70" s="90"/>
      <c r="L70" s="90"/>
      <c r="M70" s="90"/>
      <c r="N70" s="91"/>
      <c r="O70" s="92"/>
      <c r="P70" s="92"/>
      <c r="Q70" s="92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</row>
    <row r="71" spans="1:61">
      <c r="A71" s="22" t="str">
        <f t="shared" ref="A71:A81" si="26">A18</f>
        <v>Dépôts de la clientèle</v>
      </c>
      <c r="B71" s="235"/>
      <c r="C71" s="86">
        <v>13.169765413889994</v>
      </c>
      <c r="D71" s="86">
        <v>8.726401440350509</v>
      </c>
      <c r="E71" s="86">
        <v>3.2255176655537134</v>
      </c>
      <c r="F71" s="86">
        <v>13.287221704552721</v>
      </c>
      <c r="G71" s="86">
        <v>1.7375117791507873</v>
      </c>
      <c r="H71" s="86">
        <v>10.06355823957982</v>
      </c>
      <c r="I71" s="87">
        <v>10.860256468349268</v>
      </c>
      <c r="J71" s="183"/>
      <c r="K71" s="86" t="e">
        <f t="shared" ref="K71:N81" si="27">IF(OR(K18=0, K18="--", L18=0, L18="--"),"--",((K18-L18)/L18)*100)</f>
        <v>#REF!</v>
      </c>
      <c r="L71" s="86" t="e">
        <f t="shared" si="27"/>
        <v>#REF!</v>
      </c>
      <c r="M71" s="86" t="e">
        <f t="shared" si="27"/>
        <v>#REF!</v>
      </c>
      <c r="N71" s="87" t="e">
        <f t="shared" si="27"/>
        <v>#REF!</v>
      </c>
      <c r="O71" s="88"/>
      <c r="P71" s="88"/>
      <c r="Q71" s="88"/>
    </row>
    <row r="72" spans="1:61">
      <c r="A72" s="22" t="str">
        <f t="shared" si="26"/>
        <v>Dettes interbancaires</v>
      </c>
      <c r="B72" s="235"/>
      <c r="C72" s="86">
        <v>35.164835164835168</v>
      </c>
      <c r="D72" s="86">
        <v>-2.9311131046031091</v>
      </c>
      <c r="E72" s="86">
        <v>51.097101294649775</v>
      </c>
      <c r="F72" s="86">
        <v>874731.31960000005</v>
      </c>
      <c r="G72" s="86">
        <v>-92.857142857142861</v>
      </c>
      <c r="H72" s="86" t="s">
        <v>74</v>
      </c>
      <c r="I72" s="87" t="s">
        <v>74</v>
      </c>
      <c r="J72" s="183"/>
      <c r="K72" s="86" t="e">
        <f t="shared" si="27"/>
        <v>#REF!</v>
      </c>
      <c r="L72" s="86" t="e">
        <f t="shared" si="27"/>
        <v>#REF!</v>
      </c>
      <c r="M72" s="86" t="e">
        <f t="shared" si="27"/>
        <v>#REF!</v>
      </c>
      <c r="N72" s="87" t="e">
        <f t="shared" si="27"/>
        <v>#REF!</v>
      </c>
      <c r="O72" s="88"/>
      <c r="P72" s="88"/>
      <c r="Q72" s="88"/>
    </row>
    <row r="73" spans="1:61">
      <c r="A73" s="22" t="str">
        <f t="shared" si="26"/>
        <v>Emprunts</v>
      </c>
      <c r="B73" s="235"/>
      <c r="C73" s="86">
        <v>44.834973873376796</v>
      </c>
      <c r="D73" s="86">
        <v>90.974224959298638</v>
      </c>
      <c r="E73" s="86">
        <v>-32.651135351038782</v>
      </c>
      <c r="F73" s="86">
        <v>56.352776109350245</v>
      </c>
      <c r="G73" s="86">
        <v>161.53799243810221</v>
      </c>
      <c r="H73" s="86">
        <v>-16.658411754994219</v>
      </c>
      <c r="I73" s="87">
        <v>-9.7573055968301148</v>
      </c>
      <c r="J73" s="183"/>
      <c r="K73" s="86" t="e">
        <f t="shared" si="27"/>
        <v>#REF!</v>
      </c>
      <c r="L73" s="86" t="e">
        <f t="shared" si="27"/>
        <v>#REF!</v>
      </c>
      <c r="M73" s="86" t="e">
        <f t="shared" si="27"/>
        <v>#REF!</v>
      </c>
      <c r="N73" s="87" t="e">
        <f t="shared" si="27"/>
        <v>#REF!</v>
      </c>
      <c r="O73" s="88"/>
      <c r="P73" s="88"/>
      <c r="Q73" s="88"/>
    </row>
    <row r="74" spans="1:61">
      <c r="A74" s="22" t="str">
        <f t="shared" si="26"/>
        <v>Autres passifs</v>
      </c>
      <c r="B74" s="235"/>
      <c r="C74" s="86">
        <v>3.3631035445157691</v>
      </c>
      <c r="D74" s="86">
        <v>21.746517159361193</v>
      </c>
      <c r="E74" s="86">
        <v>17.422817995197683</v>
      </c>
      <c r="F74" s="86">
        <v>-37.482484971314548</v>
      </c>
      <c r="G74" s="86">
        <v>44.99095840867993</v>
      </c>
      <c r="H74" s="86">
        <v>-0.37831021437578816</v>
      </c>
      <c r="I74" s="87">
        <v>7.2864321608040195</v>
      </c>
      <c r="J74" s="183"/>
      <c r="K74" s="86" t="e">
        <f t="shared" si="27"/>
        <v>#REF!</v>
      </c>
      <c r="L74" s="86" t="e">
        <f t="shared" si="27"/>
        <v>#REF!</v>
      </c>
      <c r="M74" s="86" t="e">
        <f t="shared" si="27"/>
        <v>#REF!</v>
      </c>
      <c r="N74" s="87" t="e">
        <f t="shared" si="27"/>
        <v>#REF!</v>
      </c>
      <c r="O74" s="88"/>
      <c r="P74" s="88"/>
      <c r="Q74" s="88"/>
    </row>
    <row r="75" spans="1:61">
      <c r="A75" s="22" t="str">
        <f t="shared" si="26"/>
        <v>Total du passif, hors dette subordonnée et fonds propres</v>
      </c>
      <c r="B75" s="235"/>
      <c r="C75" s="86">
        <v>12.743174604033674</v>
      </c>
      <c r="D75" s="86">
        <v>11.737431086764156</v>
      </c>
      <c r="E75" s="86">
        <v>9.0686260546874973</v>
      </c>
      <c r="F75" s="86">
        <v>12.27394368876679</v>
      </c>
      <c r="G75" s="86">
        <v>14.370773146324833</v>
      </c>
      <c r="H75" s="86">
        <v>8.4823705064890316</v>
      </c>
      <c r="I75" s="87">
        <v>8.8935801937998065</v>
      </c>
      <c r="J75" s="183"/>
      <c r="K75" s="86" t="e">
        <f t="shared" si="27"/>
        <v>#REF!</v>
      </c>
      <c r="L75" s="86" t="e">
        <f t="shared" si="27"/>
        <v>#REF!</v>
      </c>
      <c r="M75" s="86" t="e">
        <f t="shared" si="27"/>
        <v>#REF!</v>
      </c>
      <c r="N75" s="87" t="e">
        <f t="shared" si="27"/>
        <v>#REF!</v>
      </c>
      <c r="O75" s="88"/>
      <c r="P75" s="88"/>
      <c r="Q75" s="88"/>
    </row>
    <row r="76" spans="1:61">
      <c r="A76" s="22" t="str">
        <f t="shared" si="26"/>
        <v>Dette subordonnée</v>
      </c>
      <c r="B76" s="235"/>
      <c r="C76" s="86" t="s">
        <v>74</v>
      </c>
      <c r="D76" s="86" t="s">
        <v>74</v>
      </c>
      <c r="E76" s="86" t="s">
        <v>74</v>
      </c>
      <c r="F76" s="86" t="s">
        <v>74</v>
      </c>
      <c r="G76" s="86" t="s">
        <v>74</v>
      </c>
      <c r="H76" s="86" t="s">
        <v>74</v>
      </c>
      <c r="I76" s="87" t="s">
        <v>74</v>
      </c>
      <c r="J76" s="183"/>
      <c r="K76" s="86" t="e">
        <f t="shared" si="27"/>
        <v>#REF!</v>
      </c>
      <c r="L76" s="86" t="e">
        <f t="shared" si="27"/>
        <v>#REF!</v>
      </c>
      <c r="M76" s="86" t="e">
        <f t="shared" si="27"/>
        <v>#REF!</v>
      </c>
      <c r="N76" s="87" t="e">
        <f t="shared" si="27"/>
        <v>#REF!</v>
      </c>
      <c r="O76" s="88"/>
      <c r="P76" s="88"/>
      <c r="Q76" s="88"/>
    </row>
    <row r="77" spans="1:61">
      <c r="A77" s="22" t="str">
        <f t="shared" si="26"/>
        <v>Intérêts minoritaires</v>
      </c>
      <c r="B77" s="235"/>
      <c r="C77" s="86" t="s">
        <v>74</v>
      </c>
      <c r="D77" s="86" t="s">
        <v>74</v>
      </c>
      <c r="E77" s="86" t="s">
        <v>74</v>
      </c>
      <c r="F77" s="86" t="s">
        <v>74</v>
      </c>
      <c r="G77" s="86" t="s">
        <v>74</v>
      </c>
      <c r="H77" s="86" t="s">
        <v>74</v>
      </c>
      <c r="I77" s="87" t="s">
        <v>74</v>
      </c>
      <c r="J77" s="183"/>
      <c r="K77" s="86" t="e">
        <f t="shared" si="27"/>
        <v>#REF!</v>
      </c>
      <c r="L77" s="86" t="e">
        <f t="shared" si="27"/>
        <v>#REF!</v>
      </c>
      <c r="M77" s="86" t="e">
        <f t="shared" si="27"/>
        <v>#REF!</v>
      </c>
      <c r="N77" s="87" t="e">
        <f t="shared" si="27"/>
        <v>#REF!</v>
      </c>
      <c r="O77" s="88"/>
      <c r="P77" s="88"/>
      <c r="Q77" s="88"/>
    </row>
    <row r="78" spans="1:61">
      <c r="A78" s="22" t="str">
        <f t="shared" si="26"/>
        <v>Provisions pour risques et charges (PRC)</v>
      </c>
      <c r="B78" s="235"/>
      <c r="C78" s="86">
        <v>68.489583333333343</v>
      </c>
      <c r="D78" s="86">
        <v>-32.143701925999594</v>
      </c>
      <c r="E78" s="86">
        <v>-6.5014242246730944</v>
      </c>
      <c r="F78" s="86">
        <v>-37.344537577639755</v>
      </c>
      <c r="G78" s="86">
        <v>22.900763358778626</v>
      </c>
      <c r="H78" s="86">
        <v>7.3770491803278686</v>
      </c>
      <c r="I78" s="87">
        <v>13.576415826221877</v>
      </c>
      <c r="J78" s="183"/>
      <c r="K78" s="86" t="e">
        <f t="shared" si="27"/>
        <v>#REF!</v>
      </c>
      <c r="L78" s="86" t="e">
        <f t="shared" si="27"/>
        <v>#REF!</v>
      </c>
      <c r="M78" s="86" t="e">
        <f t="shared" si="27"/>
        <v>#REF!</v>
      </c>
      <c r="N78" s="87" t="e">
        <f t="shared" si="27"/>
        <v>#REF!</v>
      </c>
      <c r="O78" s="88"/>
      <c r="P78" s="88"/>
      <c r="Q78" s="88"/>
    </row>
    <row r="79" spans="1:61">
      <c r="A79" s="22" t="str">
        <f t="shared" si="26"/>
        <v>Capitaux propres</v>
      </c>
      <c r="B79" s="235"/>
      <c r="C79" s="86">
        <v>2.8972106642009554</v>
      </c>
      <c r="D79" s="86">
        <v>-3.1333006141750506</v>
      </c>
      <c r="E79" s="86">
        <v>9.3122156839239185</v>
      </c>
      <c r="F79" s="86">
        <v>-7.5563261055081474</v>
      </c>
      <c r="G79" s="86">
        <v>14.264608111102902</v>
      </c>
      <c r="H79" s="86">
        <v>-21.612492279184682</v>
      </c>
      <c r="I79" s="87">
        <v>4.6457138240284399</v>
      </c>
      <c r="J79" s="183"/>
      <c r="K79" s="86" t="e">
        <f t="shared" si="27"/>
        <v>#REF!</v>
      </c>
      <c r="L79" s="86" t="e">
        <f t="shared" si="27"/>
        <v>#REF!</v>
      </c>
      <c r="M79" s="86" t="e">
        <f t="shared" si="27"/>
        <v>#REF!</v>
      </c>
      <c r="N79" s="87" t="e">
        <f t="shared" si="27"/>
        <v>#REF!</v>
      </c>
      <c r="O79" s="88"/>
      <c r="P79" s="88"/>
      <c r="Q79" s="88"/>
    </row>
    <row r="80" spans="1:61">
      <c r="A80" s="22" t="str">
        <f t="shared" si="26"/>
        <v>Fonds propres = capitaux propres + minoritaires + PRC</v>
      </c>
      <c r="B80" s="235"/>
      <c r="C80" s="86">
        <v>3.9877898291875038</v>
      </c>
      <c r="D80" s="86">
        <v>-3.8170008727893556</v>
      </c>
      <c r="E80" s="86">
        <v>8.8782255151269478</v>
      </c>
      <c r="F80" s="86">
        <v>-8.7469671300893683</v>
      </c>
      <c r="G80" s="86">
        <v>14.586444776331698</v>
      </c>
      <c r="H80" s="86">
        <v>-20.815813185162938</v>
      </c>
      <c r="I80" s="87">
        <v>4.8723349804122291</v>
      </c>
      <c r="J80" s="183"/>
      <c r="K80" s="86" t="e">
        <f t="shared" si="27"/>
        <v>#REF!</v>
      </c>
      <c r="L80" s="86" t="e">
        <f t="shared" si="27"/>
        <v>#REF!</v>
      </c>
      <c r="M80" s="86" t="e">
        <f t="shared" si="27"/>
        <v>#REF!</v>
      </c>
      <c r="N80" s="87" t="e">
        <f t="shared" si="27"/>
        <v>#REF!</v>
      </c>
      <c r="O80" s="88"/>
      <c r="P80" s="88"/>
      <c r="Q80" s="88"/>
    </row>
    <row r="81" spans="1:61">
      <c r="A81" s="22" t="str">
        <f t="shared" si="26"/>
        <v>Total du passif</v>
      </c>
      <c r="B81" s="235"/>
      <c r="C81" s="86">
        <v>11.770379813821471</v>
      </c>
      <c r="D81" s="86">
        <v>9.7651611307209762</v>
      </c>
      <c r="E81" s="86">
        <v>9.0444468006726737</v>
      </c>
      <c r="F81" s="86">
        <v>9.0828795094375181</v>
      </c>
      <c r="G81" s="86">
        <v>14.403460739718742</v>
      </c>
      <c r="H81" s="86">
        <v>2.7219345480850499</v>
      </c>
      <c r="I81" s="87">
        <v>8.0787733252491076</v>
      </c>
      <c r="J81" s="183"/>
      <c r="K81" s="86" t="e">
        <f t="shared" si="27"/>
        <v>#REF!</v>
      </c>
      <c r="L81" s="86" t="e">
        <f t="shared" si="27"/>
        <v>#REF!</v>
      </c>
      <c r="M81" s="86" t="e">
        <f t="shared" si="27"/>
        <v>#REF!</v>
      </c>
      <c r="N81" s="87" t="e">
        <f t="shared" si="27"/>
        <v>#REF!</v>
      </c>
      <c r="O81" s="88"/>
      <c r="P81" s="88"/>
      <c r="Q81" s="88"/>
    </row>
    <row r="82" spans="1:61" s="3" customFormat="1">
      <c r="A82" s="244"/>
      <c r="B82" s="89"/>
      <c r="C82" s="89"/>
      <c r="D82" s="89"/>
      <c r="E82" s="89"/>
      <c r="F82" s="89"/>
      <c r="G82" s="89"/>
      <c r="H82" s="89"/>
      <c r="I82" s="186"/>
      <c r="J82" s="184"/>
      <c r="K82" s="90"/>
      <c r="L82" s="90"/>
      <c r="M82" s="90"/>
      <c r="N82" s="91"/>
      <c r="O82" s="92"/>
      <c r="P82" s="92"/>
      <c r="Q82" s="92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</row>
    <row r="83" spans="1:61">
      <c r="A83" s="245"/>
      <c r="B83" s="236"/>
      <c r="C83" s="236"/>
      <c r="D83" s="236"/>
      <c r="E83" s="93"/>
      <c r="F83" s="93"/>
      <c r="G83" s="93"/>
      <c r="H83" s="93"/>
      <c r="I83" s="94"/>
      <c r="J83" s="185"/>
      <c r="K83" s="93"/>
      <c r="L83" s="93"/>
      <c r="M83" s="93"/>
      <c r="N83" s="94"/>
      <c r="O83" s="88"/>
      <c r="P83" s="88"/>
      <c r="Q83" s="88"/>
    </row>
    <row r="84" spans="1:61">
      <c r="A84" s="9"/>
      <c r="B84" s="9"/>
      <c r="C84" s="9"/>
      <c r="D84" s="9"/>
      <c r="E84" s="9"/>
      <c r="F84" s="9"/>
      <c r="G84" s="9"/>
      <c r="H84" s="9"/>
      <c r="I84" s="9"/>
      <c r="J84" s="88"/>
      <c r="K84" s="88"/>
      <c r="L84" s="88"/>
      <c r="M84" s="88"/>
      <c r="N84" s="88"/>
      <c r="O84" s="88"/>
      <c r="P84" s="88"/>
      <c r="Q84" s="88"/>
    </row>
    <row r="85" spans="1:61" s="17" customFormat="1">
      <c r="A85" s="83" t="s">
        <v>76</v>
      </c>
      <c r="B85" s="225"/>
      <c r="C85" s="13">
        <v>2020</v>
      </c>
      <c r="D85" s="13">
        <v>2019</v>
      </c>
      <c r="E85" s="13">
        <v>2018</v>
      </c>
      <c r="F85" s="13">
        <v>2017</v>
      </c>
      <c r="G85" s="13">
        <v>2016</v>
      </c>
      <c r="H85" s="13">
        <v>2015</v>
      </c>
      <c r="I85" s="164">
        <v>2014</v>
      </c>
      <c r="J85" s="13">
        <v>2013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5" t="e">
        <f>#REF!</f>
        <v>#REF!</v>
      </c>
      <c r="O85" s="95"/>
      <c r="P85" s="95"/>
      <c r="Q85" s="95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</row>
    <row r="86" spans="1:61" s="3" customFormat="1">
      <c r="A86" s="44"/>
      <c r="B86" s="85"/>
      <c r="C86" s="85"/>
      <c r="D86" s="85"/>
      <c r="E86" s="85"/>
      <c r="F86" s="85"/>
      <c r="G86" s="85"/>
      <c r="H86" s="85"/>
      <c r="I86" s="177"/>
      <c r="J86" s="184"/>
      <c r="K86" s="90"/>
      <c r="L86" s="90"/>
      <c r="M86" s="90"/>
      <c r="N86" s="91"/>
      <c r="O86" s="92"/>
      <c r="P86" s="92"/>
      <c r="Q86" s="92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</row>
    <row r="87" spans="1:61">
      <c r="A87" s="34" t="str">
        <f t="shared" ref="A87:A107" si="28">A33</f>
        <v>Intérêts perçus</v>
      </c>
      <c r="B87" s="237"/>
      <c r="C87" s="86">
        <v>6.8745108270284376</v>
      </c>
      <c r="D87" s="86">
        <v>2.3646424375730395</v>
      </c>
      <c r="E87" s="86">
        <v>17.792694733477742</v>
      </c>
      <c r="F87" s="86">
        <v>5.3414331658013996</v>
      </c>
      <c r="G87" s="86">
        <v>20.948563794255175</v>
      </c>
      <c r="H87" s="86">
        <v>19.064662371748987</v>
      </c>
      <c r="I87" s="87">
        <v>10.863239573229874</v>
      </c>
      <c r="J87" s="183"/>
      <c r="K87" s="86" t="e">
        <f>IF(OR(K33=0, K33="--", L33=0, L33="--",AND(K33&gt;0,L33&lt;0)),"--",(((K33*12/#REF!)-L33)/L33)*100)</f>
        <v>#REF!</v>
      </c>
      <c r="L87" s="86" t="e">
        <f>IF(OR(L33=0, L33="--", M33=0, M33="--",AND(L33&gt;0,M33&lt;0)),"--",(((L33*12/#REF!)-M33)/M33)*100)</f>
        <v>#REF!</v>
      </c>
      <c r="M87" s="86" t="e">
        <f>IF(OR(M33=0, M33="--", N33=0, N33="--",AND(M33&gt;0,N33&lt;0)),"--",(((M33*12/#REF!)-N33)/N33)*100)</f>
        <v>#REF!</v>
      </c>
      <c r="N87" s="87" t="e">
        <f>IF(OR(N33=0, N33="--", O33=0, O33="--",AND(N33&gt;0,O33&lt;0)),"--",(((N33*12/#REF!)-O33)/O33)*100)</f>
        <v>#REF!</v>
      </c>
      <c r="O87" s="88"/>
      <c r="P87" s="88"/>
      <c r="Q87" s="88"/>
    </row>
    <row r="88" spans="1:61">
      <c r="A88" s="34" t="str">
        <f t="shared" si="28"/>
        <v>Intérêts payés</v>
      </c>
      <c r="B88" s="237"/>
      <c r="C88" s="86">
        <v>-9.5679313371696093</v>
      </c>
      <c r="D88" s="86">
        <v>48.073471483569591</v>
      </c>
      <c r="E88" s="86">
        <v>1.9701073975102881</v>
      </c>
      <c r="F88" s="86">
        <v>-8.7177652775910754</v>
      </c>
      <c r="G88" s="86">
        <v>26.148889265728336</v>
      </c>
      <c r="H88" s="86">
        <v>36.473038648461007</v>
      </c>
      <c r="I88" s="87">
        <v>5.0315994166261548</v>
      </c>
      <c r="J88" s="183"/>
      <c r="K88" s="86" t="e">
        <f>IF(OR(K34=0, K34="--", L34=0, L34="--",AND(K34&gt;0,L34&lt;0)),"--",(((K34*12/#REF!)-L34)/L34)*100)</f>
        <v>#REF!</v>
      </c>
      <c r="L88" s="86" t="e">
        <f>IF(OR(L34=0, L34="--", M34=0, M34="--",AND(L34&gt;0,M34&lt;0)),"--",(((L34*12/#REF!)-M34)/M34)*100)</f>
        <v>#REF!</v>
      </c>
      <c r="M88" s="86" t="e">
        <f>IF(OR(M34=0, M34="--", N34=0, N34="--",AND(M34&gt;0,N34&lt;0)),"--",(((M34*12/#REF!)-N34)/N34)*100)</f>
        <v>#REF!</v>
      </c>
      <c r="N88" s="87" t="e">
        <f>IF(OR(N34=0, N34="--", O34=0, O34="--",AND(N34&gt;0,O34&lt;0)),"--",(((N34*12/#REF!)-O34)/O34)*100)</f>
        <v>#REF!</v>
      </c>
      <c r="O88" s="88"/>
      <c r="P88" s="88"/>
      <c r="Q88" s="88"/>
    </row>
    <row r="89" spans="1:61">
      <c r="A89" s="34" t="str">
        <f t="shared" si="28"/>
        <v>Marge d'intérêts</v>
      </c>
      <c r="B89" s="237"/>
      <c r="C89" s="86">
        <v>20.102000784621421</v>
      </c>
      <c r="D89" s="86">
        <v>-17.998911394853838</v>
      </c>
      <c r="E89" s="86">
        <v>26.540252059124047</v>
      </c>
      <c r="F89" s="86">
        <v>15.146099634386431</v>
      </c>
      <c r="G89" s="86">
        <v>17.568610162019176</v>
      </c>
      <c r="H89" s="86">
        <v>9.9491032476975274</v>
      </c>
      <c r="I89" s="87">
        <v>14.18292514182925</v>
      </c>
      <c r="J89" s="183"/>
      <c r="K89" s="86" t="e">
        <f>IF(OR(K35=0, K35="--", L35=0, L35="--",AND(K35&gt;0,L35&lt;0)),"--",(((K35*12/#REF!)-L35)/L35)*100)</f>
        <v>#REF!</v>
      </c>
      <c r="L89" s="86" t="e">
        <f>IF(OR(L35=0, L35="--", M35=0, M35="--",AND(L35&gt;0,M35&lt;0)),"--",(((L35*12/#REF!)-M35)/M35)*100)</f>
        <v>#REF!</v>
      </c>
      <c r="M89" s="86" t="e">
        <f>IF(OR(M35=0, M35="--", N35=0, N35="--",AND(M35&gt;0,N35&lt;0)),"--",(((M35*12/#REF!)-N35)/N35)*100)</f>
        <v>#REF!</v>
      </c>
      <c r="N89" s="87" t="e">
        <f>IF(OR(N35=0, N35="--", O35=0, O35="--",AND(N35&gt;0,O35&lt;0)),"--",(((N35*12/#REF!)-O35)/O35)*100)</f>
        <v>#REF!</v>
      </c>
      <c r="O89" s="88"/>
      <c r="P89" s="88"/>
      <c r="Q89" s="88"/>
    </row>
    <row r="90" spans="1:61">
      <c r="A90" s="34" t="str">
        <f t="shared" si="28"/>
        <v>Produit net des opérations de change</v>
      </c>
      <c r="B90" s="237"/>
      <c r="C90" s="86">
        <v>1734.375</v>
      </c>
      <c r="D90" s="86" t="s">
        <v>74</v>
      </c>
      <c r="E90" s="86" t="s">
        <v>74</v>
      </c>
      <c r="F90" s="86">
        <v>-81.373999999999995</v>
      </c>
      <c r="G90" s="86">
        <v>-89.538461538461533</v>
      </c>
      <c r="H90" s="86">
        <v>35.98326359832636</v>
      </c>
      <c r="I90" s="87" t="s">
        <v>74</v>
      </c>
      <c r="J90" s="183"/>
      <c r="K90" s="86" t="e">
        <f>IF(OR(K36=0, K36="--", L36=0, L36="--",AND(K36&gt;0,L36&lt;0)),"--",(((K36*12/#REF!)-L36)/L36)*100)</f>
        <v>#REF!</v>
      </c>
      <c r="L90" s="86" t="e">
        <f>IF(OR(L36=0, L36="--", M36=0, M36="--",AND(L36&gt;0,M36&lt;0)),"--",(((L36*12/#REF!)-M36)/M36)*100)</f>
        <v>#REF!</v>
      </c>
      <c r="M90" s="86" t="e">
        <f>IF(OR(M36=0, M36="--", N36=0, N36="--",AND(M36&gt;0,N36&lt;0)),"--",(((M36*12/#REF!)-N36)/N36)*100)</f>
        <v>#REF!</v>
      </c>
      <c r="N90" s="87" t="e">
        <f>IF(OR(N36=0, N36="--", O36=0, O36="--",AND(N36&gt;0,O36&lt;0)),"--",(((N36*12/#REF!)-O36)/O36)*100)</f>
        <v>#REF!</v>
      </c>
      <c r="O90" s="88"/>
      <c r="P90" s="88"/>
      <c r="Q90" s="88"/>
    </row>
    <row r="91" spans="1:61">
      <c r="A91" s="34" t="str">
        <f t="shared" si="28"/>
        <v>Produit net des titres de placement</v>
      </c>
      <c r="B91" s="237"/>
      <c r="C91" s="86">
        <v>-45.053272450532724</v>
      </c>
      <c r="D91" s="86">
        <v>-59.897101798583606</v>
      </c>
      <c r="E91" s="86">
        <v>-10.859322377043275</v>
      </c>
      <c r="F91" s="86">
        <v>117.24176146572103</v>
      </c>
      <c r="G91" s="86">
        <v>-45.489690721649481</v>
      </c>
      <c r="H91" s="86">
        <v>-37.038539553752535</v>
      </c>
      <c r="I91" s="87">
        <v>-22.459893048128343</v>
      </c>
      <c r="J91" s="183"/>
      <c r="K91" s="86" t="e">
        <f>IF(OR(K37=0, K37="--", L37=0, L37="--",AND(K37&gt;0,L37&lt;0)),"--",(((K37*12/#REF!)-L37)/L37)*100)</f>
        <v>#REF!</v>
      </c>
      <c r="L91" s="86" t="e">
        <f>IF(OR(L37=0, L37="--", M37=0, M37="--",AND(L37&gt;0,M37&lt;0)),"--",(((L37*12/#REF!)-M37)/M37)*100)</f>
        <v>#REF!</v>
      </c>
      <c r="M91" s="86" t="e">
        <f>IF(OR(M37=0, M37="--", N37=0, N37="--",AND(M37&gt;0,N37&lt;0)),"--",(((M37*12/#REF!)-N37)/N37)*100)</f>
        <v>#REF!</v>
      </c>
      <c r="N91" s="87" t="e">
        <f>IF(OR(N37=0, N37="--", O37=0, O37="--",AND(N37&gt;0,O37&lt;0)),"--",(((N37*12/#REF!)-O37)/O37)*100)</f>
        <v>#REF!</v>
      </c>
      <c r="O91" s="88"/>
      <c r="P91" s="88"/>
      <c r="Q91" s="88"/>
    </row>
    <row r="92" spans="1:61">
      <c r="A92" s="34" t="str">
        <f t="shared" si="28"/>
        <v>Commissions nettes</v>
      </c>
      <c r="B92" s="237"/>
      <c r="C92" s="86">
        <v>-29.331574318381705</v>
      </c>
      <c r="D92" s="86">
        <v>19.24488725747247</v>
      </c>
      <c r="E92" s="86">
        <v>28.688769264433773</v>
      </c>
      <c r="F92" s="86">
        <v>-17.651025618227287</v>
      </c>
      <c r="G92" s="86">
        <v>31.831501831501829</v>
      </c>
      <c r="H92" s="86">
        <v>-13.305811368688472</v>
      </c>
      <c r="I92" s="87">
        <v>2.5732899022801301</v>
      </c>
      <c r="J92" s="183"/>
      <c r="K92" s="86" t="e">
        <f>IF(OR(K38=0, K38="--", L38=0, L38="--",AND(K38&gt;0,L38&lt;0)),"--",(((K38*12/#REF!)-L38)/L38)*100)</f>
        <v>#REF!</v>
      </c>
      <c r="L92" s="86" t="e">
        <f>IF(OR(L38=0, L38="--", M38=0, M38="--",AND(L38&gt;0,M38&lt;0)),"--",(((L38*12/#REF!)-M38)/M38)*100)</f>
        <v>#REF!</v>
      </c>
      <c r="M92" s="86" t="e">
        <f>IF(OR(M38=0, M38="--", N38=0, N38="--",AND(M38&gt;0,N38&lt;0)),"--",(((M38*12/#REF!)-N38)/N38)*100)</f>
        <v>#REF!</v>
      </c>
      <c r="N92" s="87" t="e">
        <f>IF(OR(N38=0, N38="--", O38=0, O38="--",AND(N38&gt;0,O38&lt;0)),"--",(((N38*12/#REF!)-O38)/O38)*100)</f>
        <v>#REF!</v>
      </c>
      <c r="O92" s="88"/>
      <c r="P92" s="88"/>
      <c r="Q92" s="88"/>
    </row>
    <row r="93" spans="1:61">
      <c r="A93" s="34" t="str">
        <f t="shared" si="28"/>
        <v>Autres produits d'exploitation nets</v>
      </c>
      <c r="B93" s="237"/>
      <c r="C93" s="86">
        <v>-111.58940397350993</v>
      </c>
      <c r="D93" s="86">
        <v>-29.603729603729604</v>
      </c>
      <c r="E93" s="86">
        <v>-95.61059207665825</v>
      </c>
      <c r="F93" s="86">
        <v>9772.2502191919175</v>
      </c>
      <c r="G93" s="86">
        <v>-36.129032258064512</v>
      </c>
      <c r="H93" s="86">
        <v>-6.0606060606060606</v>
      </c>
      <c r="I93" s="87">
        <v>7.1428571428571423</v>
      </c>
      <c r="J93" s="183"/>
      <c r="K93" s="86" t="e">
        <f>IF(OR(K39=0, K39="--", L39=0, L39="--",AND(K39&gt;0,L39&lt;0)),"--",(((K39*12/#REF!)-L39)/L39)*100)</f>
        <v>#REF!</v>
      </c>
      <c r="L93" s="86" t="e">
        <f>IF(OR(L39=0, L39="--", M39=0, M39="--",AND(L39&gt;0,M39&lt;0)),"--",(((L39*12/#REF!)-M39)/M39)*100)</f>
        <v>#REF!</v>
      </c>
      <c r="M93" s="86" t="e">
        <f>IF(OR(M39=0, M39="--", N39=0, N39="--",AND(M39&gt;0,N39&lt;0)),"--",(((M39*12/#REF!)-N39)/N39)*100)</f>
        <v>#REF!</v>
      </c>
      <c r="N93" s="96" t="s">
        <v>74</v>
      </c>
      <c r="O93" s="88"/>
      <c r="P93" s="88"/>
      <c r="Q93" s="88"/>
    </row>
    <row r="94" spans="1:61">
      <c r="A94" s="34" t="str">
        <f t="shared" si="28"/>
        <v>Total des produits d'exploitation, hors marge d'intérêt</v>
      </c>
      <c r="B94" s="237"/>
      <c r="C94" s="86">
        <v>-46.06392694063927</v>
      </c>
      <c r="D94" s="86">
        <v>-6.908108409244698</v>
      </c>
      <c r="E94" s="86">
        <v>-59.666018443914211</v>
      </c>
      <c r="F94" s="86">
        <v>218.51169608999558</v>
      </c>
      <c r="G94" s="86">
        <v>-3.8639227215455691</v>
      </c>
      <c r="H94" s="86">
        <v>-20.870721169823859</v>
      </c>
      <c r="I94" s="87">
        <v>-5.3922339254834144</v>
      </c>
      <c r="J94" s="183"/>
      <c r="K94" s="86" t="e">
        <f>IF(OR(K40=0, K40="--", L40=0, L40="--",AND(K40&gt;0,L40&lt;0)),"--",(((K40*12/#REF!)-L40)/L40)*100)</f>
        <v>#REF!</v>
      </c>
      <c r="L94" s="86" t="e">
        <f>IF(OR(L40=0, L40="--", M40=0, M40="--",AND(L40&gt;0,M40&lt;0)),"--",(((L40*12/#REF!)-M40)/M40)*100)</f>
        <v>#REF!</v>
      </c>
      <c r="M94" s="86" t="e">
        <f>IF(OR(M40=0, M40="--", N40=0, N40="--",AND(M40&gt;0,N40&lt;0)),"--",(((M40*12/#REF!)-N40)/N40)*100)</f>
        <v>#REF!</v>
      </c>
      <c r="N94" s="87" t="e">
        <f>IF(OR(N40=0, N40="--", O40=0, O40="--",AND(N40&gt;0,O40&lt;0)),"--",(((N40*12/#REF!)-O40)/O40)*100)</f>
        <v>#REF!</v>
      </c>
      <c r="O94" s="88"/>
      <c r="P94" s="88"/>
      <c r="Q94" s="88"/>
    </row>
    <row r="95" spans="1:61">
      <c r="A95" s="34" t="str">
        <f t="shared" si="28"/>
        <v>Total des produits d'exploitation</v>
      </c>
      <c r="B95" s="237"/>
      <c r="C95" s="86">
        <v>0.21953896816684962</v>
      </c>
      <c r="D95" s="86">
        <v>-14.954246354956757</v>
      </c>
      <c r="E95" s="86">
        <v>-20.251330743497444</v>
      </c>
      <c r="F95" s="86">
        <v>76.215807773040339</v>
      </c>
      <c r="G95" s="86">
        <v>10.191543187567763</v>
      </c>
      <c r="H95" s="86">
        <v>-3.0483531885073583</v>
      </c>
      <c r="I95" s="87">
        <v>5.0191345304680599</v>
      </c>
      <c r="J95" s="183"/>
      <c r="K95" s="86" t="e">
        <f>IF(OR(K41=0, K41="--", L41=0, L41="--",AND(K41&gt;0,L41&lt;0)),"--",(((K41*12/#REF!)-L41)/L41)*100)</f>
        <v>#REF!</v>
      </c>
      <c r="L95" s="86" t="e">
        <f>IF(OR(L41=0, L41="--", M41=0, M41="--",AND(L41&gt;0,M41&lt;0)),"--",(((L41*12/#REF!)-M41)/M41)*100)</f>
        <v>#REF!</v>
      </c>
      <c r="M95" s="86" t="e">
        <f>IF(OR(M41=0, M41="--", N41=0, N41="--",AND(M41&gt;0,N41&lt;0)),"--",(((M41*12/#REF!)-N41)/N41)*100)</f>
        <v>#REF!</v>
      </c>
      <c r="N95" s="87" t="e">
        <f>IF(OR(N41=0, N41="--", O41=0, O41="--",AND(N41&gt;0,O41&lt;0)),"--",(((N41*12/#REF!)-O41)/O41)*100)</f>
        <v>#REF!</v>
      </c>
      <c r="O95" s="88"/>
      <c r="P95" s="88"/>
      <c r="Q95" s="88"/>
    </row>
    <row r="96" spans="1:61">
      <c r="A96" s="34" t="str">
        <f t="shared" si="28"/>
        <v>Charges de personnel</v>
      </c>
      <c r="B96" s="237"/>
      <c r="C96" s="86">
        <v>3.3771999365784051</v>
      </c>
      <c r="D96" s="86">
        <v>-0.74031639712686681</v>
      </c>
      <c r="E96" s="86">
        <v>13.152224157252165</v>
      </c>
      <c r="F96" s="86">
        <v>2.3975117250182416</v>
      </c>
      <c r="G96" s="86">
        <v>21.67739072553805</v>
      </c>
      <c r="H96" s="86">
        <v>6.8009478672985777</v>
      </c>
      <c r="I96" s="87">
        <v>16.31753031973539</v>
      </c>
      <c r="J96" s="183"/>
      <c r="K96" s="86" t="e">
        <f>IF(OR(K42=0, K42="--", L42=0, L42="--",AND(K42&gt;0,L42&lt;0)),"--",(((K42*12/#REF!)-L42)/L42)*100)</f>
        <v>#REF!</v>
      </c>
      <c r="L96" s="86" t="e">
        <f>IF(OR(L42=0, L42="--", M42=0, M42="--",AND(L42&gt;0,M42&lt;0)),"--",(((L42*12/#REF!)-M42)/M42)*100)</f>
        <v>#REF!</v>
      </c>
      <c r="M96" s="86" t="e">
        <f>IF(OR(M42=0, M42="--", N42=0, N42="--",AND(M42&gt;0,N42&lt;0)),"--",(((M42*12/#REF!)-N42)/N42)*100)</f>
        <v>#REF!</v>
      </c>
      <c r="N96" s="87" t="e">
        <f>IF(OR(N42=0, N42="--", O42=0, O42="--",AND(N42&gt;0,O42&lt;0)),"--",(((N42*12/#REF!)-O42)/O42)*100)</f>
        <v>#REF!</v>
      </c>
      <c r="O96" s="88"/>
      <c r="P96" s="88"/>
      <c r="Q96" s="88"/>
    </row>
    <row r="97" spans="1:61">
      <c r="A97" s="34" t="str">
        <f t="shared" si="28"/>
        <v>Autres charges d'exploitation</v>
      </c>
      <c r="B97" s="237"/>
      <c r="C97" s="86">
        <v>16.561130053580126</v>
      </c>
      <c r="D97" s="86">
        <v>26.119248563087559</v>
      </c>
      <c r="E97" s="86">
        <v>0.96411191096623694</v>
      </c>
      <c r="F97" s="86">
        <v>24.98296837209303</v>
      </c>
      <c r="G97" s="86">
        <v>14.939114939114939</v>
      </c>
      <c r="H97" s="86">
        <v>5.4824561403508767</v>
      </c>
      <c r="I97" s="87">
        <v>15.151515151515152</v>
      </c>
      <c r="J97" s="183"/>
      <c r="K97" s="86" t="e">
        <f>IF(OR(K43=0, K43="--", L43=0, L43="--",AND(K43&gt;0,L43&lt;0)),"--",(((K43*12/#REF!)-L43)/L43)*100)</f>
        <v>#REF!</v>
      </c>
      <c r="L97" s="86" t="e">
        <f>IF(OR(L43=0, L43="--", M43=0, M43="--",AND(L43&gt;0,M43&lt;0)),"--",(((L43*12/#REF!)-M43)/M43)*100)</f>
        <v>#REF!</v>
      </c>
      <c r="M97" s="86" t="e">
        <f>IF(OR(M43=0, M43="--", N43=0, N43="--",AND(M43&gt;0,N43&lt;0)),"--",(((M43*12/#REF!)-N43)/N43)*100)</f>
        <v>#REF!</v>
      </c>
      <c r="N97" s="87" t="e">
        <f>IF(OR(N43=0, N43="--", O43=0, O43="--",AND(N43&gt;0,O43&lt;0)),"--",(((N43*12/#REF!)-O43)/O43)*100)</f>
        <v>#REF!</v>
      </c>
      <c r="O97" s="88"/>
      <c r="P97" s="88"/>
      <c r="Q97" s="88"/>
    </row>
    <row r="98" spans="1:61">
      <c r="A98" s="34" t="str">
        <f t="shared" si="28"/>
        <v>Dotations aux amortissements et aux provisions sur immobilisations</v>
      </c>
      <c r="B98" s="237"/>
      <c r="C98" s="86">
        <v>-20.47463936714751</v>
      </c>
      <c r="D98" s="86">
        <v>8.2608769454958786</v>
      </c>
      <c r="E98" s="86">
        <v>9.1654702677550546</v>
      </c>
      <c r="F98" s="86">
        <v>201.55204129353237</v>
      </c>
      <c r="G98" s="86">
        <v>2.030456852791878</v>
      </c>
      <c r="H98" s="86">
        <v>-4.3689320388349513</v>
      </c>
      <c r="I98" s="87">
        <v>-4.0372670807453419</v>
      </c>
      <c r="J98" s="183"/>
      <c r="K98" s="86" t="e">
        <f>IF(OR(K44=0, K44="--", L44=0, L44="--",AND(K44&gt;0,L44&lt;0)),"--",(((K44*12/#REF!)-L44)/L44)*100)</f>
        <v>#REF!</v>
      </c>
      <c r="L98" s="86" t="e">
        <f>IF(OR(L44=0, L44="--", M44=0, M44="--",AND(L44&gt;0,M44&lt;0)),"--",(((L44*12/#REF!)-M44)/M44)*100)</f>
        <v>#REF!</v>
      </c>
      <c r="M98" s="86" t="e">
        <f>IF(OR(M44=0, M44="--", N44=0, N44="--",AND(M44&gt;0,N44&lt;0)),"--",(((M44*12/#REF!)-N44)/N44)*100)</f>
        <v>#REF!</v>
      </c>
      <c r="N98" s="87" t="e">
        <f>IF(OR(N44=0, N44="--", O44=0, O44="--",AND(N44&gt;0,O44&lt;0)),"--",(((N44*12/#REF!)-O44)/O44)*100)</f>
        <v>#REF!</v>
      </c>
      <c r="O98" s="88"/>
      <c r="P98" s="88"/>
      <c r="Q98" s="88"/>
    </row>
    <row r="99" spans="1:61">
      <c r="A99" s="34" t="str">
        <f t="shared" si="28"/>
        <v>Total des charges d'exploitation</v>
      </c>
      <c r="B99" s="237"/>
      <c r="C99" s="86">
        <v>5.4259322613752996</v>
      </c>
      <c r="D99" s="86">
        <v>10.531012325566911</v>
      </c>
      <c r="E99" s="86">
        <v>7.7571431402754119</v>
      </c>
      <c r="F99" s="86">
        <v>23.236710133574359</v>
      </c>
      <c r="G99" s="86">
        <v>17.625516834022445</v>
      </c>
      <c r="H99" s="86">
        <v>5.4171855541718559</v>
      </c>
      <c r="I99" s="87">
        <v>13.997728563316297</v>
      </c>
      <c r="J99" s="183"/>
      <c r="K99" s="86" t="e">
        <f>IF(OR(K45=0, K45="--", L45=0, L45="--",AND(K45&gt;0,L45&lt;0)),"--",(((K45*12/#REF!)-L45)/L45)*100)</f>
        <v>#REF!</v>
      </c>
      <c r="L99" s="86" t="e">
        <f>IF(OR(L45=0, L45="--", M45=0, M45="--",AND(L45&gt;0,M45&lt;0)),"--",(((L45*12/#REF!)-M45)/M45)*100)</f>
        <v>#REF!</v>
      </c>
      <c r="M99" s="86" t="e">
        <f>IF(OR(M45=0, M45="--", N45=0, N45="--",AND(M45&gt;0,N45&lt;0)),"--",(((M45*12/#REF!)-N45)/N45)*100)</f>
        <v>#REF!</v>
      </c>
      <c r="N99" s="87" t="e">
        <f>IF(OR(N45=0, N45="--", O45=0, O45="--",AND(N45&gt;0,O45&lt;0)),"--",(((N45*12/#REF!)-O45)/O45)*100)</f>
        <v>#REF!</v>
      </c>
      <c r="O99" s="88"/>
      <c r="P99" s="88"/>
      <c r="Q99" s="88"/>
    </row>
    <row r="100" spans="1:61">
      <c r="A100" s="34" t="str">
        <f t="shared" si="28"/>
        <v>Produit pré-provisions (PPP)</v>
      </c>
      <c r="B100" s="237"/>
      <c r="C100" s="86">
        <v>-20.887656033287101</v>
      </c>
      <c r="D100" s="86">
        <v>-56.043172425119877</v>
      </c>
      <c r="E100" s="86">
        <v>-43.801874960369091</v>
      </c>
      <c r="F100" s="86">
        <v>175.97240293116491</v>
      </c>
      <c r="G100" s="86">
        <v>-1.5270018621973929</v>
      </c>
      <c r="H100" s="86">
        <v>-13.942307692307693</v>
      </c>
      <c r="I100" s="87">
        <v>-4.6454767726161368</v>
      </c>
      <c r="J100" s="183"/>
      <c r="K100" s="86" t="e">
        <f>IF(OR(K46=0, K46="--", L46=0, L46="--",AND(K46&gt;0,L46&lt;0)),"--",(((K46*12/#REF!)-L46)/L46)*100)</f>
        <v>#REF!</v>
      </c>
      <c r="L100" s="86" t="e">
        <f>IF(OR(L46=0, L46="--", M46=0, M46="--",AND(L46&gt;0,M46&lt;0)),"--",(((L46*12/#REF!)-M46)/M46)*100)</f>
        <v>#REF!</v>
      </c>
      <c r="M100" s="86" t="e">
        <f>IF(OR(M46=0, M46="--", N46=0, N46="--",AND(M46&gt;0,N46&lt;0)),"--",(((M46*12/#REF!)-N46)/N46)*100)</f>
        <v>#REF!</v>
      </c>
      <c r="N100" s="87" t="e">
        <f>IF(OR(N46=0, N46="--", O46=0, O46="--",AND(N46&gt;0,O46&lt;0)),"--",(((N46*12/#REF!)-O46)/O46)*100)</f>
        <v>#REF!</v>
      </c>
      <c r="O100" s="88"/>
      <c r="P100" s="88"/>
      <c r="Q100" s="88"/>
    </row>
    <row r="101" spans="1:61">
      <c r="A101" s="34" t="str">
        <f t="shared" si="28"/>
        <v>Dotations aux provisions pour créances en souffrance (DPCS), nettes</v>
      </c>
      <c r="B101" s="237"/>
      <c r="C101" s="86">
        <v>-16.403162055335969</v>
      </c>
      <c r="D101" s="86">
        <v>43.598840327171843</v>
      </c>
      <c r="E101" s="86">
        <v>-84.490550548271472</v>
      </c>
      <c r="F101" s="86">
        <v>-683.55475804794526</v>
      </c>
      <c r="G101" s="86" t="s">
        <v>74</v>
      </c>
      <c r="H101" s="86">
        <v>22330</v>
      </c>
      <c r="I101" s="87">
        <v>-93.520518358531319</v>
      </c>
      <c r="J101" s="183"/>
      <c r="K101" s="86" t="e">
        <f>IF(OR(K47=0, K47="--", L47=0, L47="--",AND(K47&gt;0,L47&lt;0)),"--",(((K47*12/#REF!)-L47)/L47)*100)</f>
        <v>#REF!</v>
      </c>
      <c r="L101" s="86" t="e">
        <f>IF(OR(L47=0, L47="--", M47=0, M47="--",AND(L47&gt;0,M47&lt;0)),"--",(((L47*12/#REF!)-M47)/M47)*100)</f>
        <v>#REF!</v>
      </c>
      <c r="M101" s="86" t="e">
        <f>IF(OR(M47=0, M47="--", N47=0, N47="--",AND(M47&gt;0,N47&lt;0)),"--",(((M47*12/#REF!)-N47)/N47)*100)</f>
        <v>#REF!</v>
      </c>
      <c r="N101" s="87" t="e">
        <f>IF(OR(N47=0, N47="--", O47=0, O47="--",AND(N47&gt;0,O47&lt;0)),"--",(((N47*12/#REF!)-O47)/O47)*100)</f>
        <v>#REF!</v>
      </c>
      <c r="O101" s="88"/>
      <c r="P101" s="88"/>
      <c r="Q101" s="88"/>
    </row>
    <row r="102" spans="1:61">
      <c r="A102" s="34" t="str">
        <f t="shared" si="28"/>
        <v>Résultat non courant, net</v>
      </c>
      <c r="B102" s="237"/>
      <c r="C102" s="86">
        <v>233.33333333333334</v>
      </c>
      <c r="D102" s="86">
        <v>-36.619718309859159</v>
      </c>
      <c r="E102" s="86">
        <v>-40.10031341456434</v>
      </c>
      <c r="F102" s="86" t="s">
        <v>74</v>
      </c>
      <c r="G102" s="86">
        <v>-785.41666666666674</v>
      </c>
      <c r="H102" s="86">
        <v>-75.384615384615387</v>
      </c>
      <c r="I102" s="87" t="s">
        <v>74</v>
      </c>
      <c r="J102" s="183"/>
      <c r="K102" s="86" t="e">
        <f>IF(OR(K48=0, K48="--", L48=0, L48="--",AND(K48&gt;0,L48&lt;0)),"--",(((K48*12/#REF!)-L48)/L48)*100)</f>
        <v>#REF!</v>
      </c>
      <c r="L102" s="86" t="e">
        <f>IF(OR(L48=0, L48="--", M48=0, M48="--",AND(L48&gt;0,M48&lt;0)),"--",(((L48*12/#REF!)-M48)/M48)*100)</f>
        <v>#REF!</v>
      </c>
      <c r="M102" s="86" t="e">
        <f>IF(OR(M48=0, M48="--", N48=0, N48="--",AND(M48&gt;0,N48&lt;0)),"--",(((M48*12/#REF!)-N48)/N48)*100)</f>
        <v>#REF!</v>
      </c>
      <c r="N102" s="87" t="e">
        <f>IF(OR(N48=0, N48="--", O48=0, O48="--",AND(N48&gt;0,O48&lt;0)),"--",(((N48*12/#REF!)-O48)/O48)*100)</f>
        <v>#REF!</v>
      </c>
      <c r="O102" s="88"/>
      <c r="P102" s="88"/>
      <c r="Q102" s="88"/>
    </row>
    <row r="103" spans="1:61">
      <c r="A103" s="34" t="str">
        <f t="shared" si="28"/>
        <v>Résultat avant impôt sur le bénéfice</v>
      </c>
      <c r="B103" s="237"/>
      <c r="C103" s="86">
        <v>-18.714821763602252</v>
      </c>
      <c r="D103" s="86">
        <v>-70.450930414984313</v>
      </c>
      <c r="E103" s="86">
        <v>-8.6235130940628686</v>
      </c>
      <c r="F103" s="86">
        <v>36.185453570196628</v>
      </c>
      <c r="G103" s="86" t="s">
        <v>74</v>
      </c>
      <c r="H103" s="86">
        <v>-221.64383561643834</v>
      </c>
      <c r="I103" s="87">
        <v>18.059299191374663</v>
      </c>
      <c r="J103" s="183"/>
      <c r="K103" s="86" t="e">
        <f>IF(OR(K49=0, K49="--", L49=0, L49="--",AND(K49&gt;0,L49&lt;0)),"--",(((K49*12/#REF!)-L49)/L49)*100)</f>
        <v>#REF!</v>
      </c>
      <c r="L103" s="86" t="e">
        <f>IF(OR(L49=0, L49="--", M49=0, M49="--",AND(L49&gt;0,M49&lt;0)),"--",(((L49*12/#REF!)-M49)/M49)*100)</f>
        <v>#REF!</v>
      </c>
      <c r="M103" s="86" t="e">
        <f>IF(OR(M49=0, M49="--", N49=0, N49="--",AND(M49&gt;0,N49&lt;0)),"--",(((M49*12/#REF!)-N49)/N49)*100)</f>
        <v>#REF!</v>
      </c>
      <c r="N103" s="87" t="e">
        <f>IF(OR(N49=0, N49="--", O49=0, O49="--",AND(N49&gt;0,O49&lt;0)),"--",(((N49*12/#REF!)-O49)/O49)*100)</f>
        <v>#REF!</v>
      </c>
      <c r="O103" s="88"/>
      <c r="P103" s="88"/>
      <c r="Q103" s="88"/>
    </row>
    <row r="104" spans="1:61">
      <c r="A104" s="34" t="str">
        <f t="shared" si="28"/>
        <v>Impôt sur le bénéfice</v>
      </c>
      <c r="B104" s="237"/>
      <c r="C104" s="86">
        <v>-7.5388026607538805</v>
      </c>
      <c r="D104" s="86">
        <v>-77.336683417085425</v>
      </c>
      <c r="E104" s="86">
        <v>25.295190747219898</v>
      </c>
      <c r="F104" s="86">
        <v>31664.98616</v>
      </c>
      <c r="G104" s="86">
        <v>0</v>
      </c>
      <c r="H104" s="86">
        <v>-99.671052631578945</v>
      </c>
      <c r="I104" s="87">
        <v>62.740899357601712</v>
      </c>
      <c r="J104" s="183"/>
      <c r="K104" s="86" t="e">
        <f>IF(OR(K50=0, K50="--", L50=0, L50="--",AND(K50&gt;0,L50&lt;0)),"--",(((K50*12/#REF!)-L50)/L50)*100)</f>
        <v>#REF!</v>
      </c>
      <c r="L104" s="86" t="e">
        <f>IF(OR(L50=0, L50="--", M50=0, M50="--",AND(L50&gt;0,M50&lt;0)),"--",(((L50*12/#REF!)-M50)/M50)*100)</f>
        <v>#REF!</v>
      </c>
      <c r="M104" s="86" t="e">
        <f>IF(OR(M50=0, M50="--", N50=0, N50="--",AND(M50&gt;0,N50&lt;0)),"--",(((M50*12/#REF!)-N50)/N50)*100)</f>
        <v>#REF!</v>
      </c>
      <c r="N104" s="87" t="e">
        <f>IF(OR(N50=0, N50="--", O50=0, O50="--",AND(N50&gt;0,O50&lt;0)),"--",(((N50*12/#REF!)-O50)/O50)*100)</f>
        <v>#REF!</v>
      </c>
      <c r="O104" s="88"/>
      <c r="P104" s="88"/>
      <c r="Q104" s="88"/>
    </row>
    <row r="105" spans="1:61">
      <c r="A105" s="34" t="str">
        <f t="shared" si="28"/>
        <v>Résultat net</v>
      </c>
      <c r="B105" s="237"/>
      <c r="C105" s="86">
        <v>-21.713265913146937</v>
      </c>
      <c r="D105" s="86">
        <v>-67.828472780438162</v>
      </c>
      <c r="E105" s="86">
        <v>-17.163971037438778</v>
      </c>
      <c r="F105" s="86">
        <v>8.8862988089073234</v>
      </c>
      <c r="G105" s="86" t="s">
        <v>74</v>
      </c>
      <c r="H105" s="86">
        <v>-258.35643564356434</v>
      </c>
      <c r="I105" s="87">
        <v>9.0477218743251999</v>
      </c>
      <c r="J105" s="183"/>
      <c r="K105" s="86" t="e">
        <f>IF(OR(K51=0, K51="--", L51=0, L51="--",AND(K51&gt;0,L51&lt;0)),"--",(((K51*12/#REF!)-L51)/L51)*100)</f>
        <v>#REF!</v>
      </c>
      <c r="L105" s="86" t="e">
        <f>IF(OR(L51=0, L51="--", M51=0, M51="--",AND(L51&gt;0,M51&lt;0)),"--",(((L51*12/#REF!)-M51)/M51)*100)</f>
        <v>#REF!</v>
      </c>
      <c r="M105" s="86" t="e">
        <f>IF(OR(M51=0, M51="--", N51=0, N51="--",AND(M51&gt;0,N51&lt;0)),"--",(((M51*12/#REF!)-N51)/N51)*100)</f>
        <v>#REF!</v>
      </c>
      <c r="N105" s="87" t="e">
        <f>IF(OR(N51=0, N51="--", O51=0, O51="--",AND(N51&gt;0,O51&lt;0)),"--",(((N51*12/#REF!)-O51)/O51)*100)</f>
        <v>#REF!</v>
      </c>
      <c r="O105" s="88"/>
      <c r="P105" s="88"/>
      <c r="Q105" s="88"/>
    </row>
    <row r="106" spans="1:61">
      <c r="A106" s="34" t="str">
        <f t="shared" si="28"/>
        <v>Intérêts minoritaires</v>
      </c>
      <c r="B106" s="237"/>
      <c r="C106" s="86" t="s">
        <v>74</v>
      </c>
      <c r="D106" s="86" t="s">
        <v>74</v>
      </c>
      <c r="E106" s="86" t="s">
        <v>74</v>
      </c>
      <c r="F106" s="86" t="s">
        <v>74</v>
      </c>
      <c r="G106" s="86" t="s">
        <v>74</v>
      </c>
      <c r="H106" s="86" t="s">
        <v>74</v>
      </c>
      <c r="I106" s="87" t="s">
        <v>74</v>
      </c>
      <c r="J106" s="183"/>
      <c r="K106" s="86" t="e">
        <f>IF(OR(K52=0, K52="--", L52=0, L52="--",AND(K52&gt;0,L52&lt;0)),"--",(((K52*12/#REF!)-L52)/L52)*100)</f>
        <v>#REF!</v>
      </c>
      <c r="L106" s="86" t="e">
        <f>IF(OR(L52=0, L52="--", M52=0, M52="--",AND(L52&gt;0,M52&lt;0)),"--",(((L52*12/#REF!)-M52)/M52)*100)</f>
        <v>#REF!</v>
      </c>
      <c r="M106" s="86" t="e">
        <f>IF(OR(M52=0, M52="--", N52=0, N52="--",AND(M52&gt;0,N52&lt;0)),"--",(((M52*12/#REF!)-N52)/N52)*100)</f>
        <v>#REF!</v>
      </c>
      <c r="N106" s="87" t="e">
        <f>IF(OR(N52=0, N52="--", O52=0, O52="--",AND(N52&gt;0,O52&lt;0)),"--",(((N52*12/#REF!)-O52)/O52)*100)</f>
        <v>#REF!</v>
      </c>
      <c r="O106" s="88"/>
      <c r="P106" s="88"/>
      <c r="Q106" s="88"/>
    </row>
    <row r="107" spans="1:61">
      <c r="A107" s="76" t="str">
        <f t="shared" si="28"/>
        <v>Résultat net, part du Groupe</v>
      </c>
      <c r="B107" s="238"/>
      <c r="C107" s="93">
        <v>-21.713265913146937</v>
      </c>
      <c r="D107" s="93">
        <v>-67.828472780438162</v>
      </c>
      <c r="E107" s="93">
        <v>-17.163971037438778</v>
      </c>
      <c r="F107" s="93">
        <v>8.8862988089073234</v>
      </c>
      <c r="G107" s="93" t="s">
        <v>74</v>
      </c>
      <c r="H107" s="93">
        <v>-258.35643564356434</v>
      </c>
      <c r="I107" s="94">
        <v>9.0477218743251999</v>
      </c>
      <c r="J107" s="185"/>
      <c r="K107" s="93" t="e">
        <f>IF(OR(K53=0, K53="--", L53=0, L53="--",AND(K53&gt;0,L53&lt;0)),"--",(((K53*12/#REF!)-L53)/L53)*100)</f>
        <v>#REF!</v>
      </c>
      <c r="L107" s="93" t="e">
        <f>IF(OR(L53=0, L53="--", M53=0, M53="--",AND(L53&gt;0,M53&lt;0)),"--",(((L53*12/#REF!)-M53)/M53)*100)</f>
        <v>#REF!</v>
      </c>
      <c r="M107" s="93" t="e">
        <f>IF(OR(M53=0, M53="--", N53=0, N53="--",AND(M53&gt;0,N53&lt;0)),"--",(((M53*12/#REF!)-N53)/N53)*100)</f>
        <v>#REF!</v>
      </c>
      <c r="N107" s="94" t="e">
        <f>IF(OR(N53=0, N53="--", O53=0, O53="--",AND(N53&gt;0,O53&lt;0)),"--",(((N53*12/#REF!)-O53)/O53)*100)</f>
        <v>#REF!</v>
      </c>
      <c r="O107" s="88"/>
      <c r="P107" s="88"/>
      <c r="Q107" s="88"/>
    </row>
    <row r="108" spans="1:61">
      <c r="A108" s="233"/>
      <c r="B108" s="9"/>
      <c r="C108" s="9"/>
      <c r="D108" s="9"/>
      <c r="E108" s="9"/>
      <c r="F108" s="9"/>
      <c r="G108" s="9"/>
      <c r="H108" s="9"/>
      <c r="I108" s="9"/>
      <c r="J108" s="97"/>
      <c r="K108" s="97"/>
      <c r="L108" s="97"/>
      <c r="M108" s="97"/>
      <c r="N108" s="97"/>
      <c r="O108" s="97"/>
      <c r="P108" s="97"/>
      <c r="Q108" s="97"/>
    </row>
    <row r="109" spans="1:61" s="17" customFormat="1">
      <c r="A109" s="12" t="s">
        <v>36</v>
      </c>
      <c r="B109" s="225"/>
      <c r="C109" s="13">
        <v>2020</v>
      </c>
      <c r="D109" s="13">
        <v>2019</v>
      </c>
      <c r="E109" s="13">
        <v>2018</v>
      </c>
      <c r="F109" s="13">
        <v>2017</v>
      </c>
      <c r="G109" s="13">
        <v>2016</v>
      </c>
      <c r="H109" s="13">
        <v>2015</v>
      </c>
      <c r="I109" s="164">
        <v>2014</v>
      </c>
      <c r="J109" s="13">
        <v>2013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5" t="e">
        <f>#REF!</f>
        <v>#REF!</v>
      </c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</row>
    <row r="110" spans="1:61" s="3" customFormat="1">
      <c r="A110" s="44"/>
      <c r="B110" s="85"/>
      <c r="C110" s="85"/>
      <c r="D110" s="85"/>
      <c r="E110" s="85"/>
      <c r="F110" s="85"/>
      <c r="G110" s="85"/>
      <c r="H110" s="85"/>
      <c r="I110" s="177"/>
      <c r="J110" s="110"/>
      <c r="K110" s="98"/>
      <c r="L110" s="98"/>
      <c r="M110" s="98"/>
      <c r="N110" s="99"/>
      <c r="O110" s="100"/>
      <c r="P110" s="100"/>
      <c r="Q110" s="10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</row>
    <row r="111" spans="1:61">
      <c r="A111" s="22" t="str">
        <f t="shared" ref="A111:A120" si="29">A5</f>
        <v>Caisse</v>
      </c>
      <c r="B111" s="235"/>
      <c r="C111" s="101">
        <v>1.3771270791950296</v>
      </c>
      <c r="D111" s="101">
        <v>1.1081711687874343</v>
      </c>
      <c r="E111" s="101">
        <v>0.39261287083176588</v>
      </c>
      <c r="F111" s="101">
        <v>1.0482582209699791</v>
      </c>
      <c r="G111" s="101">
        <v>0.43465927044087133</v>
      </c>
      <c r="H111" s="101">
        <v>0.50553044195454544</v>
      </c>
      <c r="I111" s="102">
        <v>0.92268967731696605</v>
      </c>
      <c r="J111" s="111" t="e">
        <f t="shared" ref="E111:Q111" si="30">IF( OR( J5=0, J5="--", J$15=0, J$15="--"), "--", J5/J$15*100)</f>
        <v>#REF!</v>
      </c>
      <c r="K111" s="101" t="e">
        <f t="shared" si="30"/>
        <v>#REF!</v>
      </c>
      <c r="L111" s="101" t="e">
        <f t="shared" si="30"/>
        <v>#REF!</v>
      </c>
      <c r="M111" s="101" t="e">
        <f t="shared" si="30"/>
        <v>#REF!</v>
      </c>
      <c r="N111" s="102" t="e">
        <f t="shared" si="30"/>
        <v>#REF!</v>
      </c>
      <c r="O111" s="97" t="e">
        <f t="shared" si="30"/>
        <v>#REF!</v>
      </c>
      <c r="P111" s="97" t="e">
        <f t="shared" si="30"/>
        <v>#REF!</v>
      </c>
      <c r="Q111" s="97" t="e">
        <f t="shared" si="30"/>
        <v>#REF!</v>
      </c>
    </row>
    <row r="112" spans="1:61">
      <c r="A112" s="22" t="str">
        <f t="shared" si="29"/>
        <v>Créances interbancaires</v>
      </c>
      <c r="B112" s="235"/>
      <c r="C112" s="101">
        <v>2.5743388218988814</v>
      </c>
      <c r="D112" s="101">
        <v>5.5273855627450512</v>
      </c>
      <c r="E112" s="101">
        <v>3.6518013560686984</v>
      </c>
      <c r="F112" s="101">
        <v>3.7414996943155114</v>
      </c>
      <c r="G112" s="101">
        <v>6.1367356534787749</v>
      </c>
      <c r="H112" s="101">
        <v>4.999972729381275</v>
      </c>
      <c r="I112" s="102">
        <v>5.9546701015327717</v>
      </c>
      <c r="J112" s="111" t="e">
        <f t="shared" ref="E112:Q112" si="31">IF( OR( J6=0, J6="--", J$15=0, J$15="--"), "--", J6/J$15*100)</f>
        <v>#REF!</v>
      </c>
      <c r="K112" s="101" t="e">
        <f t="shared" si="31"/>
        <v>#REF!</v>
      </c>
      <c r="L112" s="101" t="e">
        <f t="shared" si="31"/>
        <v>#REF!</v>
      </c>
      <c r="M112" s="101" t="e">
        <f t="shared" si="31"/>
        <v>#REF!</v>
      </c>
      <c r="N112" s="102" t="e">
        <f t="shared" si="31"/>
        <v>#REF!</v>
      </c>
      <c r="O112" s="97" t="e">
        <f t="shared" si="31"/>
        <v>#REF!</v>
      </c>
      <c r="P112" s="97" t="e">
        <f t="shared" si="31"/>
        <v>#REF!</v>
      </c>
      <c r="Q112" s="97" t="e">
        <f t="shared" si="31"/>
        <v>#REF!</v>
      </c>
    </row>
    <row r="113" spans="1:61">
      <c r="A113" s="22" t="str">
        <f t="shared" si="29"/>
        <v>Titres de placement</v>
      </c>
      <c r="B113" s="235"/>
      <c r="C113" s="101">
        <v>7.0528533582402728</v>
      </c>
      <c r="D113" s="101">
        <v>5.5002044596252375</v>
      </c>
      <c r="E113" s="101">
        <v>6.780822964829464</v>
      </c>
      <c r="F113" s="101">
        <v>7.6770191391421774</v>
      </c>
      <c r="G113" s="101">
        <v>4.2407544282970271</v>
      </c>
      <c r="H113" s="101">
        <v>7.0565869793797251</v>
      </c>
      <c r="I113" s="102">
        <v>12.505397734612304</v>
      </c>
      <c r="J113" s="111" t="e">
        <f t="shared" ref="E113:Q113" si="32">IF( OR( J7=0, J7="--", J$15=0, J$15="--"), "--", J7/J$15*100)</f>
        <v>#REF!</v>
      </c>
      <c r="K113" s="101" t="e">
        <f t="shared" si="32"/>
        <v>#REF!</v>
      </c>
      <c r="L113" s="101" t="e">
        <f t="shared" si="32"/>
        <v>#REF!</v>
      </c>
      <c r="M113" s="101" t="e">
        <f t="shared" si="32"/>
        <v>#REF!</v>
      </c>
      <c r="N113" s="102" t="e">
        <f t="shared" si="32"/>
        <v>#REF!</v>
      </c>
      <c r="O113" s="97" t="e">
        <f t="shared" si="32"/>
        <v>#REF!</v>
      </c>
      <c r="P113" s="97" t="e">
        <f t="shared" si="32"/>
        <v>#REF!</v>
      </c>
      <c r="Q113" s="97" t="e">
        <f t="shared" si="32"/>
        <v>#REF!</v>
      </c>
    </row>
    <row r="114" spans="1:61">
      <c r="A114" s="22" t="str">
        <f t="shared" si="29"/>
        <v>Autres titres</v>
      </c>
      <c r="B114" s="235"/>
      <c r="C114" s="101" t="s">
        <v>74</v>
      </c>
      <c r="D114" s="101" t="s">
        <v>74</v>
      </c>
      <c r="E114" s="101" t="s">
        <v>74</v>
      </c>
      <c r="F114" s="101" t="s">
        <v>74</v>
      </c>
      <c r="G114" s="101" t="s">
        <v>74</v>
      </c>
      <c r="H114" s="101" t="s">
        <v>74</v>
      </c>
      <c r="I114" s="102" t="s">
        <v>74</v>
      </c>
      <c r="J114" s="111" t="e">
        <f t="shared" ref="E114:Q114" si="33">IF( OR( J8=0, J8="--", J$15=0, J$15="--"), "--", J8/J$15*100)</f>
        <v>#REF!</v>
      </c>
      <c r="K114" s="101" t="e">
        <f t="shared" si="33"/>
        <v>#REF!</v>
      </c>
      <c r="L114" s="101" t="e">
        <f t="shared" si="33"/>
        <v>#REF!</v>
      </c>
      <c r="M114" s="101" t="e">
        <f t="shared" si="33"/>
        <v>#REF!</v>
      </c>
      <c r="N114" s="102" t="e">
        <f t="shared" si="33"/>
        <v>#REF!</v>
      </c>
      <c r="O114" s="97" t="e">
        <f t="shared" si="33"/>
        <v>#REF!</v>
      </c>
      <c r="P114" s="97" t="e">
        <f t="shared" si="33"/>
        <v>#REF!</v>
      </c>
      <c r="Q114" s="97" t="e">
        <f t="shared" si="33"/>
        <v>#REF!</v>
      </c>
    </row>
    <row r="115" spans="1:61">
      <c r="A115" s="22" t="str">
        <f t="shared" si="29"/>
        <v>Créances brutes sur la clientèle</v>
      </c>
      <c r="B115" s="235"/>
      <c r="C115" s="101">
        <v>84.038539758922056</v>
      </c>
      <c r="D115" s="101">
        <v>86.997089457099563</v>
      </c>
      <c r="E115" s="101">
        <v>86.71209686427018</v>
      </c>
      <c r="F115" s="101">
        <v>86.431921227744837</v>
      </c>
      <c r="G115" s="101">
        <v>88.491976230695485</v>
      </c>
      <c r="H115" s="101">
        <v>86.93974211508862</v>
      </c>
      <c r="I115" s="102" t="s">
        <v>74</v>
      </c>
      <c r="J115" s="111" t="e">
        <f t="shared" ref="E115:Q115" si="34">IF( OR( J9=0, J9="--", J$15=0, J$15="--"), "--", J9/J$15*100)</f>
        <v>#REF!</v>
      </c>
      <c r="K115" s="101" t="e">
        <f t="shared" si="34"/>
        <v>#REF!</v>
      </c>
      <c r="L115" s="101" t="e">
        <f t="shared" si="34"/>
        <v>#REF!</v>
      </c>
      <c r="M115" s="101" t="e">
        <f t="shared" si="34"/>
        <v>#REF!</v>
      </c>
      <c r="N115" s="102" t="e">
        <f t="shared" si="34"/>
        <v>#REF!</v>
      </c>
      <c r="O115" s="97" t="e">
        <f t="shared" si="34"/>
        <v>#REF!</v>
      </c>
      <c r="P115" s="97" t="e">
        <f t="shared" si="34"/>
        <v>#REF!</v>
      </c>
      <c r="Q115" s="97" t="e">
        <f t="shared" si="34"/>
        <v>#REF!</v>
      </c>
    </row>
    <row r="116" spans="1:61">
      <c r="A116" s="22" t="str">
        <f t="shared" si="29"/>
        <v>Provisions pour créances en souffrance (PCS)</v>
      </c>
      <c r="B116" s="235"/>
      <c r="C116" s="103">
        <v>5.5080778973148279</v>
      </c>
      <c r="D116" s="103">
        <v>5.8809804440381983</v>
      </c>
      <c r="E116" s="103">
        <v>-5.9293686860571038</v>
      </c>
      <c r="F116" s="103">
        <v>-6.2614006793551047</v>
      </c>
      <c r="G116" s="103">
        <v>-6.7850387490259969</v>
      </c>
      <c r="H116" s="103">
        <v>-8.3110684959687493</v>
      </c>
      <c r="I116" s="104" t="s">
        <v>74</v>
      </c>
      <c r="J116" s="112" t="e">
        <f t="shared" ref="E116:Q116" si="35">IF( OR( J10=0, J10="--", J$15=0, J$15="--"), "--", J10/J$15*100)</f>
        <v>#REF!</v>
      </c>
      <c r="K116" s="103" t="e">
        <f t="shared" si="35"/>
        <v>#REF!</v>
      </c>
      <c r="L116" s="103" t="e">
        <f t="shared" si="35"/>
        <v>#REF!</v>
      </c>
      <c r="M116" s="103" t="e">
        <f t="shared" si="35"/>
        <v>#REF!</v>
      </c>
      <c r="N116" s="104" t="e">
        <f t="shared" si="35"/>
        <v>#REF!</v>
      </c>
      <c r="O116" s="105" t="e">
        <f t="shared" si="35"/>
        <v>#REF!</v>
      </c>
      <c r="P116" s="105" t="e">
        <f t="shared" si="35"/>
        <v>#REF!</v>
      </c>
      <c r="Q116" s="105" t="e">
        <f t="shared" si="35"/>
        <v>#REF!</v>
      </c>
    </row>
    <row r="117" spans="1:61">
      <c r="A117" s="22" t="str">
        <f t="shared" si="29"/>
        <v>Créances nettes sur la clientèle</v>
      </c>
      <c r="B117" s="235"/>
      <c r="C117" s="101">
        <v>78.530461861607222</v>
      </c>
      <c r="D117" s="101">
        <v>81.116109013061362</v>
      </c>
      <c r="E117" s="101">
        <v>80.782728178213077</v>
      </c>
      <c r="F117" s="101">
        <v>80.170520548389732</v>
      </c>
      <c r="G117" s="101">
        <v>81.706937481669499</v>
      </c>
      <c r="H117" s="101">
        <v>78.62867361911988</v>
      </c>
      <c r="I117" s="102">
        <v>73.229081702325544</v>
      </c>
      <c r="J117" s="111" t="e">
        <f t="shared" ref="E117:Q117" si="36">IF( OR( J11=0, J11="--", J$15=0, J$15="--"), "--", J11/J$15*100)</f>
        <v>#REF!</v>
      </c>
      <c r="K117" s="101" t="e">
        <f t="shared" si="36"/>
        <v>#REF!</v>
      </c>
      <c r="L117" s="101" t="e">
        <f t="shared" si="36"/>
        <v>#REF!</v>
      </c>
      <c r="M117" s="101" t="e">
        <f t="shared" si="36"/>
        <v>#REF!</v>
      </c>
      <c r="N117" s="102" t="e">
        <f t="shared" si="36"/>
        <v>#REF!</v>
      </c>
      <c r="O117" s="97" t="e">
        <f t="shared" si="36"/>
        <v>#REF!</v>
      </c>
      <c r="P117" s="97" t="e">
        <f t="shared" si="36"/>
        <v>#REF!</v>
      </c>
      <c r="Q117" s="97" t="e">
        <f t="shared" si="36"/>
        <v>#REF!</v>
      </c>
    </row>
    <row r="118" spans="1:61">
      <c r="A118" s="22" t="str">
        <f t="shared" si="29"/>
        <v>Immobilisations financières</v>
      </c>
      <c r="B118" s="235"/>
      <c r="C118" s="101">
        <v>0.2956981726541601</v>
      </c>
      <c r="D118" s="101">
        <v>0.32737594111562796</v>
      </c>
      <c r="E118" s="101">
        <v>0.15049719998258682</v>
      </c>
      <c r="F118" s="101">
        <v>0.37485402197230472</v>
      </c>
      <c r="G118" s="101">
        <v>0.40890633678758265</v>
      </c>
      <c r="H118" s="101">
        <v>0.48576912403876726</v>
      </c>
      <c r="I118" s="102">
        <v>0.49899057749301523</v>
      </c>
      <c r="J118" s="111" t="e">
        <f t="shared" ref="E118:Q118" si="37">IF( OR( J12=0, J12="--", J$15=0, J$15="--"), "--", J12/J$15*100)</f>
        <v>#REF!</v>
      </c>
      <c r="K118" s="101" t="e">
        <f t="shared" si="37"/>
        <v>#REF!</v>
      </c>
      <c r="L118" s="101" t="e">
        <f t="shared" si="37"/>
        <v>#REF!</v>
      </c>
      <c r="M118" s="101" t="e">
        <f t="shared" si="37"/>
        <v>#REF!</v>
      </c>
      <c r="N118" s="102" t="e">
        <f t="shared" si="37"/>
        <v>#REF!</v>
      </c>
      <c r="O118" s="97" t="e">
        <f t="shared" si="37"/>
        <v>#REF!</v>
      </c>
      <c r="P118" s="97" t="e">
        <f t="shared" si="37"/>
        <v>#REF!</v>
      </c>
      <c r="Q118" s="97" t="e">
        <f t="shared" si="37"/>
        <v>#REF!</v>
      </c>
    </row>
    <row r="119" spans="1:61">
      <c r="A119" s="22" t="str">
        <f t="shared" si="29"/>
        <v>Actifs immobilisés corporels et incorporels</v>
      </c>
      <c r="B119" s="235"/>
      <c r="C119" s="101">
        <v>3.4244172658464307</v>
      </c>
      <c r="D119" s="101">
        <v>3.832054458422534</v>
      </c>
      <c r="E119" s="101">
        <v>3.9720699588386594</v>
      </c>
      <c r="F119" s="101">
        <v>3.7995424625607859</v>
      </c>
      <c r="G119" s="101">
        <v>3.503341157346763</v>
      </c>
      <c r="H119" s="101">
        <v>3.6062608712848423</v>
      </c>
      <c r="I119" s="102">
        <v>3.148217179005488</v>
      </c>
      <c r="J119" s="111" t="e">
        <f t="shared" ref="E119:Q119" si="38">IF( OR( J13=0, J13="--", J$15=0, J$15="--"), "--", J13/J$15*100)</f>
        <v>#REF!</v>
      </c>
      <c r="K119" s="101" t="e">
        <f t="shared" si="38"/>
        <v>#REF!</v>
      </c>
      <c r="L119" s="101" t="e">
        <f t="shared" si="38"/>
        <v>#REF!</v>
      </c>
      <c r="M119" s="101" t="e">
        <f t="shared" si="38"/>
        <v>#REF!</v>
      </c>
      <c r="N119" s="102" t="e">
        <f t="shared" si="38"/>
        <v>#REF!</v>
      </c>
      <c r="O119" s="97" t="e">
        <f t="shared" si="38"/>
        <v>#REF!</v>
      </c>
      <c r="P119" s="97" t="e">
        <f t="shared" si="38"/>
        <v>#REF!</v>
      </c>
      <c r="Q119" s="97" t="e">
        <f t="shared" si="38"/>
        <v>#REF!</v>
      </c>
    </row>
    <row r="120" spans="1:61">
      <c r="A120" s="22" t="str">
        <f t="shared" si="29"/>
        <v>Autres actifs</v>
      </c>
      <c r="B120" s="235"/>
      <c r="C120" s="101">
        <v>6.7451034405579948</v>
      </c>
      <c r="D120" s="101">
        <v>2.5886993962427538</v>
      </c>
      <c r="E120" s="101">
        <v>4.2694674712357363</v>
      </c>
      <c r="F120" s="101">
        <v>3.1883059126495015</v>
      </c>
      <c r="G120" s="101">
        <v>3.5686656719794949</v>
      </c>
      <c r="H120" s="101">
        <v>4.7172062348409574</v>
      </c>
      <c r="I120" s="102">
        <v>3.7409530277139074</v>
      </c>
      <c r="J120" s="111" t="e">
        <f t="shared" ref="E120:Q120" si="39">IF( OR( J14=0, J14="--", J$15=0, J$15="--"), "--", J14/J$15*100)</f>
        <v>#REF!</v>
      </c>
      <c r="K120" s="101" t="e">
        <f t="shared" si="39"/>
        <v>#REF!</v>
      </c>
      <c r="L120" s="101" t="e">
        <f t="shared" si="39"/>
        <v>#REF!</v>
      </c>
      <c r="M120" s="101" t="e">
        <f t="shared" si="39"/>
        <v>#REF!</v>
      </c>
      <c r="N120" s="102" t="e">
        <f t="shared" si="39"/>
        <v>#REF!</v>
      </c>
      <c r="O120" s="97" t="e">
        <f t="shared" si="39"/>
        <v>#REF!</v>
      </c>
      <c r="P120" s="97" t="e">
        <f t="shared" si="39"/>
        <v>#REF!</v>
      </c>
      <c r="Q120" s="97" t="e">
        <f t="shared" si="39"/>
        <v>#REF!</v>
      </c>
    </row>
    <row r="121" spans="1:61" s="3" customFormat="1">
      <c r="A121" s="44"/>
      <c r="B121" s="85"/>
      <c r="C121" s="85"/>
      <c r="D121" s="85"/>
      <c r="E121" s="85"/>
      <c r="F121" s="85"/>
      <c r="G121" s="85"/>
      <c r="H121" s="85"/>
      <c r="I121" s="177"/>
      <c r="J121" s="110"/>
      <c r="K121" s="98"/>
      <c r="L121" s="98"/>
      <c r="M121" s="98"/>
      <c r="N121" s="99"/>
      <c r="O121" s="100"/>
      <c r="P121" s="100"/>
      <c r="Q121" s="10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</row>
    <row r="122" spans="1:61">
      <c r="A122" s="34" t="str">
        <f t="shared" ref="A122:A131" si="40">A71</f>
        <v>Dépôts de la clientèle</v>
      </c>
      <c r="B122" s="237"/>
      <c r="C122" s="101">
        <v>67.868541286911153</v>
      </c>
      <c r="D122" s="101">
        <v>67.029321915666415</v>
      </c>
      <c r="E122" s="101">
        <v>67.669776369584412</v>
      </c>
      <c r="F122" s="101">
        <v>71.48422173134351</v>
      </c>
      <c r="G122" s="101">
        <v>68.831310451910412</v>
      </c>
      <c r="H122" s="101">
        <v>77.400770715830873</v>
      </c>
      <c r="I122" s="102">
        <v>72.237743913016189</v>
      </c>
      <c r="J122" s="111" t="e">
        <f t="shared" ref="E122:Q122" si="41">IF( OR( J18=0, J18="--", J$15=0, J$15="--"), "--", J18/J$15*100)</f>
        <v>#REF!</v>
      </c>
      <c r="K122" s="101" t="e">
        <f t="shared" si="41"/>
        <v>#REF!</v>
      </c>
      <c r="L122" s="101" t="e">
        <f t="shared" si="41"/>
        <v>#REF!</v>
      </c>
      <c r="M122" s="101" t="e">
        <f t="shared" si="41"/>
        <v>#REF!</v>
      </c>
      <c r="N122" s="102" t="e">
        <f t="shared" si="41"/>
        <v>#REF!</v>
      </c>
      <c r="O122" s="97" t="e">
        <f t="shared" si="41"/>
        <v>#REF!</v>
      </c>
      <c r="P122" s="97" t="e">
        <f t="shared" si="41"/>
        <v>#REF!</v>
      </c>
      <c r="Q122" s="97" t="e">
        <f t="shared" si="41"/>
        <v>#REF!</v>
      </c>
    </row>
    <row r="123" spans="1:61">
      <c r="A123" s="34" t="str">
        <f t="shared" si="40"/>
        <v>Dettes interbancaires</v>
      </c>
      <c r="B123" s="237"/>
      <c r="C123" s="101">
        <v>11.197147179784059</v>
      </c>
      <c r="D123" s="101">
        <v>9.2591345344334073</v>
      </c>
      <c r="E123" s="101">
        <v>10.470207156010881</v>
      </c>
      <c r="F123" s="101">
        <v>7.5561690074978092</v>
      </c>
      <c r="G123" s="101">
        <v>9.4218049951055914E-4</v>
      </c>
      <c r="H123" s="101">
        <v>1.5090460953867029E-2</v>
      </c>
      <c r="I123" s="102" t="s">
        <v>74</v>
      </c>
      <c r="J123" s="111" t="e">
        <f t="shared" ref="E123:Q123" si="42">IF( OR( J19=0, J19="--", J$15=0, J$15="--"), "--", J19/J$15*100)</f>
        <v>#REF!</v>
      </c>
      <c r="K123" s="101" t="e">
        <f t="shared" si="42"/>
        <v>#REF!</v>
      </c>
      <c r="L123" s="101" t="e">
        <f t="shared" si="42"/>
        <v>#REF!</v>
      </c>
      <c r="M123" s="101" t="e">
        <f t="shared" si="42"/>
        <v>#REF!</v>
      </c>
      <c r="N123" s="102" t="e">
        <f t="shared" si="42"/>
        <v>#REF!</v>
      </c>
      <c r="O123" s="97" t="e">
        <f t="shared" si="42"/>
        <v>#REF!</v>
      </c>
      <c r="P123" s="97" t="e">
        <f t="shared" si="42"/>
        <v>#REF!</v>
      </c>
      <c r="Q123" s="97" t="e">
        <f t="shared" si="42"/>
        <v>#REF!</v>
      </c>
    </row>
    <row r="124" spans="1:61">
      <c r="A124" s="34" t="str">
        <f t="shared" si="40"/>
        <v>Emprunts</v>
      </c>
      <c r="B124" s="237"/>
      <c r="C124" s="101">
        <v>9.0030839554688011</v>
      </c>
      <c r="D124" s="101">
        <v>10.877011521901233</v>
      </c>
      <c r="E124" s="101">
        <v>7.6262231853452791</v>
      </c>
      <c r="F124" s="101">
        <v>6.8171411057242155</v>
      </c>
      <c r="G124" s="101">
        <v>13.469098360836451</v>
      </c>
      <c r="H124" s="101">
        <v>5.4411890639371974</v>
      </c>
      <c r="I124" s="102">
        <v>6.0521061314574434</v>
      </c>
      <c r="J124" s="111" t="e">
        <f t="shared" ref="E124:Q124" si="43">IF( OR( J20=0, J20="--", J$15=0, J$15="--"), "--", J20/J$15*100)</f>
        <v>#REF!</v>
      </c>
      <c r="K124" s="101" t="e">
        <f t="shared" si="43"/>
        <v>#REF!</v>
      </c>
      <c r="L124" s="101" t="e">
        <f t="shared" si="43"/>
        <v>#REF!</v>
      </c>
      <c r="M124" s="101" t="e">
        <f t="shared" si="43"/>
        <v>#REF!</v>
      </c>
      <c r="N124" s="102" t="e">
        <f t="shared" si="43"/>
        <v>#REF!</v>
      </c>
      <c r="O124" s="97" t="e">
        <f t="shared" si="43"/>
        <v>#REF!</v>
      </c>
      <c r="P124" s="97" t="e">
        <f t="shared" si="43"/>
        <v>#REF!</v>
      </c>
      <c r="Q124" s="97" t="e">
        <f t="shared" si="43"/>
        <v>#REF!</v>
      </c>
    </row>
    <row r="125" spans="1:61">
      <c r="A125" s="34" t="str">
        <f t="shared" si="40"/>
        <v>Autres passifs</v>
      </c>
      <c r="B125" s="237"/>
      <c r="C125" s="101">
        <v>1.5940584897011383</v>
      </c>
      <c r="D125" s="101">
        <v>1.7237149111201981</v>
      </c>
      <c r="E125" s="101">
        <v>1.5540816124517649</v>
      </c>
      <c r="F125" s="101">
        <v>1.4431911094917593</v>
      </c>
      <c r="G125" s="101">
        <v>2.5181344150252212</v>
      </c>
      <c r="H125" s="101">
        <v>1.9869106922591588</v>
      </c>
      <c r="I125" s="102">
        <v>2.0487401595145913</v>
      </c>
      <c r="J125" s="111" t="e">
        <f t="shared" ref="E125:Q125" si="44">IF( OR( J21=0, J21="--", J$15=0, J$15="--"), "--", J21/J$15*100)</f>
        <v>#REF!</v>
      </c>
      <c r="K125" s="101" t="e">
        <f t="shared" si="44"/>
        <v>#REF!</v>
      </c>
      <c r="L125" s="101" t="e">
        <f t="shared" si="44"/>
        <v>#REF!</v>
      </c>
      <c r="M125" s="101" t="e">
        <f t="shared" si="44"/>
        <v>#REF!</v>
      </c>
      <c r="N125" s="102" t="e">
        <f t="shared" si="44"/>
        <v>#REF!</v>
      </c>
      <c r="O125" s="97" t="e">
        <f t="shared" si="44"/>
        <v>#REF!</v>
      </c>
      <c r="P125" s="97" t="e">
        <f t="shared" si="44"/>
        <v>#REF!</v>
      </c>
      <c r="Q125" s="97" t="e">
        <f t="shared" si="44"/>
        <v>#REF!</v>
      </c>
    </row>
    <row r="126" spans="1:61">
      <c r="A126" s="34" t="str">
        <f t="shared" si="40"/>
        <v>Total du passif, hors dette subordonnée et fonds propres</v>
      </c>
      <c r="B126" s="237"/>
      <c r="C126" s="101">
        <v>89.662830911865157</v>
      </c>
      <c r="D126" s="101">
        <v>88.889182883121251</v>
      </c>
      <c r="E126" s="101">
        <v>87.320288323392347</v>
      </c>
      <c r="F126" s="101">
        <v>87.300722954057292</v>
      </c>
      <c r="G126" s="101">
        <v>84.819485408271589</v>
      </c>
      <c r="H126" s="101">
        <v>84.843960932981105</v>
      </c>
      <c r="I126" s="102">
        <v>80.338590203988232</v>
      </c>
      <c r="J126" s="111" t="e">
        <f t="shared" ref="E126:Q126" si="45">IF( OR( J22=0, J22="--", J$15=0, J$15="--"), "--", J22/J$15*100)</f>
        <v>#REF!</v>
      </c>
      <c r="K126" s="101" t="e">
        <f t="shared" si="45"/>
        <v>#REF!</v>
      </c>
      <c r="L126" s="101" t="e">
        <f t="shared" si="45"/>
        <v>#REF!</v>
      </c>
      <c r="M126" s="101" t="e">
        <f t="shared" si="45"/>
        <v>#REF!</v>
      </c>
      <c r="N126" s="102" t="e">
        <f t="shared" si="45"/>
        <v>#REF!</v>
      </c>
      <c r="O126" s="97" t="e">
        <f t="shared" si="45"/>
        <v>#REF!</v>
      </c>
      <c r="P126" s="97" t="e">
        <f t="shared" si="45"/>
        <v>#REF!</v>
      </c>
      <c r="Q126" s="97" t="e">
        <f t="shared" si="45"/>
        <v>#REF!</v>
      </c>
    </row>
    <row r="127" spans="1:61">
      <c r="A127" s="34" t="str">
        <f t="shared" si="40"/>
        <v>Dette subordonnée</v>
      </c>
      <c r="B127" s="237"/>
      <c r="C127" s="101" t="s">
        <v>74</v>
      </c>
      <c r="D127" s="101" t="s">
        <v>74</v>
      </c>
      <c r="E127" s="101" t="s">
        <v>74</v>
      </c>
      <c r="F127" s="101" t="s">
        <v>74</v>
      </c>
      <c r="G127" s="101" t="s">
        <v>74</v>
      </c>
      <c r="H127" s="101" t="s">
        <v>74</v>
      </c>
      <c r="I127" s="102" t="s">
        <v>74</v>
      </c>
      <c r="J127" s="111" t="e">
        <f t="shared" ref="E127:Q127" si="46">IF( OR( J23=0, J23="--", J$15=0, J$15="--"), "--", J23/J$15*100)</f>
        <v>#REF!</v>
      </c>
      <c r="K127" s="101" t="e">
        <f t="shared" si="46"/>
        <v>#REF!</v>
      </c>
      <c r="L127" s="101" t="e">
        <f t="shared" si="46"/>
        <v>#REF!</v>
      </c>
      <c r="M127" s="101" t="e">
        <f t="shared" si="46"/>
        <v>#REF!</v>
      </c>
      <c r="N127" s="102" t="e">
        <f t="shared" si="46"/>
        <v>#REF!</v>
      </c>
      <c r="O127" s="97" t="e">
        <f t="shared" si="46"/>
        <v>#REF!</v>
      </c>
      <c r="P127" s="97" t="e">
        <f t="shared" si="46"/>
        <v>#REF!</v>
      </c>
      <c r="Q127" s="97" t="e">
        <f t="shared" si="46"/>
        <v>#REF!</v>
      </c>
    </row>
    <row r="128" spans="1:61">
      <c r="A128" s="34" t="str">
        <f t="shared" si="40"/>
        <v>Intérêts minoritaires</v>
      </c>
      <c r="B128" s="237"/>
      <c r="C128" s="101" t="s">
        <v>74</v>
      </c>
      <c r="D128" s="101" t="s">
        <v>74</v>
      </c>
      <c r="E128" s="101" t="s">
        <v>74</v>
      </c>
      <c r="F128" s="101" t="s">
        <v>74</v>
      </c>
      <c r="G128" s="101" t="s">
        <v>74</v>
      </c>
      <c r="H128" s="101" t="s">
        <v>74</v>
      </c>
      <c r="I128" s="102" t="s">
        <v>74</v>
      </c>
      <c r="J128" s="111" t="e">
        <f t="shared" ref="E128:Q128" si="47">IF( OR( J24=0, J24="--", J$15=0, J$15="--"), "--", J24/J$15*100)</f>
        <v>#REF!</v>
      </c>
      <c r="K128" s="101" t="e">
        <f t="shared" si="47"/>
        <v>#REF!</v>
      </c>
      <c r="L128" s="101" t="e">
        <f t="shared" si="47"/>
        <v>#REF!</v>
      </c>
      <c r="M128" s="101" t="e">
        <f t="shared" si="47"/>
        <v>#REF!</v>
      </c>
      <c r="N128" s="102" t="e">
        <f t="shared" si="47"/>
        <v>#REF!</v>
      </c>
      <c r="O128" s="97" t="e">
        <f t="shared" si="47"/>
        <v>#REF!</v>
      </c>
      <c r="P128" s="97" t="e">
        <f t="shared" si="47"/>
        <v>#REF!</v>
      </c>
      <c r="Q128" s="97" t="e">
        <f t="shared" si="47"/>
        <v>#REF!</v>
      </c>
    </row>
    <row r="129" spans="1:61">
      <c r="A129" s="34" t="str">
        <f t="shared" si="40"/>
        <v>Provisions pour risques et charges (PRC)</v>
      </c>
      <c r="B129" s="237"/>
      <c r="C129" s="101">
        <v>0.27848139404256422</v>
      </c>
      <c r="D129" s="101">
        <v>0.18473528492050129</v>
      </c>
      <c r="E129" s="101">
        <v>0.29883029353037283</v>
      </c>
      <c r="F129" s="101">
        <v>0.34851553978274563</v>
      </c>
      <c r="G129" s="101">
        <v>0.60676424168480014</v>
      </c>
      <c r="H129" s="101">
        <v>0.56481439570188019</v>
      </c>
      <c r="I129" s="102">
        <v>0.54032707503681532</v>
      </c>
      <c r="J129" s="111" t="e">
        <f t="shared" ref="E129:Q129" si="48">IF( OR( J25=0, J25="--", J$15=0, J$15="--"), "--", J25/J$15*100)</f>
        <v>#REF!</v>
      </c>
      <c r="K129" s="101" t="e">
        <f t="shared" si="48"/>
        <v>#REF!</v>
      </c>
      <c r="L129" s="101" t="e">
        <f t="shared" si="48"/>
        <v>#REF!</v>
      </c>
      <c r="M129" s="101" t="e">
        <f t="shared" si="48"/>
        <v>#REF!</v>
      </c>
      <c r="N129" s="102" t="e">
        <f t="shared" si="48"/>
        <v>#REF!</v>
      </c>
      <c r="O129" s="97" t="e">
        <f t="shared" si="48"/>
        <v>#REF!</v>
      </c>
      <c r="P129" s="97" t="e">
        <f t="shared" si="48"/>
        <v>#REF!</v>
      </c>
      <c r="Q129" s="97" t="e">
        <f t="shared" si="48"/>
        <v>#REF!</v>
      </c>
    </row>
    <row r="130" spans="1:61">
      <c r="A130" s="34" t="str">
        <f t="shared" si="40"/>
        <v>Capitaux propres</v>
      </c>
      <c r="B130" s="237"/>
      <c r="C130" s="101">
        <v>10.058687694092278</v>
      </c>
      <c r="D130" s="101">
        <v>10.926081831958243</v>
      </c>
      <c r="E130" s="101">
        <v>12.380975849905679</v>
      </c>
      <c r="F130" s="101">
        <v>12.350618322977603</v>
      </c>
      <c r="G130" s="101">
        <v>14.573647966429329</v>
      </c>
      <c r="H130" s="101">
        <v>14.591397852321283</v>
      </c>
      <c r="I130" s="102">
        <v>19.12108272097495</v>
      </c>
      <c r="J130" s="111" t="e">
        <f t="shared" ref="E130:Q130" si="49">IF( OR( J26=0, J26="--", J$15=0, J$15="--"), "--", J26/J$15*100)</f>
        <v>#REF!</v>
      </c>
      <c r="K130" s="101" t="e">
        <f t="shared" si="49"/>
        <v>#REF!</v>
      </c>
      <c r="L130" s="101" t="e">
        <f t="shared" si="49"/>
        <v>#REF!</v>
      </c>
      <c r="M130" s="101" t="e">
        <f t="shared" si="49"/>
        <v>#REF!</v>
      </c>
      <c r="N130" s="102" t="e">
        <f t="shared" si="49"/>
        <v>#REF!</v>
      </c>
      <c r="O130" s="97" t="e">
        <f t="shared" si="49"/>
        <v>#REF!</v>
      </c>
      <c r="P130" s="97" t="e">
        <f t="shared" si="49"/>
        <v>#REF!</v>
      </c>
      <c r="Q130" s="97" t="e">
        <f t="shared" si="49"/>
        <v>#REF!</v>
      </c>
    </row>
    <row r="131" spans="1:61">
      <c r="A131" s="76" t="str">
        <f t="shared" si="40"/>
        <v>Fonds propres = capitaux propres + minoritaires + PRC</v>
      </c>
      <c r="B131" s="238"/>
      <c r="C131" s="106">
        <v>10.337169088134841</v>
      </c>
      <c r="D131" s="106">
        <v>11.110817116878744</v>
      </c>
      <c r="E131" s="106">
        <v>12.679806143436053</v>
      </c>
      <c r="F131" s="106">
        <v>12.699133862760348</v>
      </c>
      <c r="G131" s="106">
        <v>15.180412208114131</v>
      </c>
      <c r="H131" s="106">
        <v>15.156212248023163</v>
      </c>
      <c r="I131" s="107">
        <v>19.661409796011768</v>
      </c>
      <c r="J131" s="113" t="e">
        <f t="shared" ref="E131:Q131" si="50">IF( OR( J27=0, J27="--", J$15=0, J$15="--"), "--", J27/J$15*100)</f>
        <v>#REF!</v>
      </c>
      <c r="K131" s="106" t="e">
        <f t="shared" si="50"/>
        <v>#REF!</v>
      </c>
      <c r="L131" s="106" t="e">
        <f t="shared" si="50"/>
        <v>#REF!</v>
      </c>
      <c r="M131" s="106" t="e">
        <f t="shared" si="50"/>
        <v>#REF!</v>
      </c>
      <c r="N131" s="107" t="e">
        <f t="shared" si="50"/>
        <v>#REF!</v>
      </c>
      <c r="O131" s="97" t="e">
        <f t="shared" si="50"/>
        <v>#REF!</v>
      </c>
      <c r="P131" s="97" t="e">
        <f t="shared" si="50"/>
        <v>#REF!</v>
      </c>
      <c r="Q131" s="97" t="e">
        <f t="shared" si="50"/>
        <v>#REF!</v>
      </c>
    </row>
    <row r="132" spans="1:61">
      <c r="A132" s="233"/>
      <c r="B132" s="9"/>
      <c r="C132" s="9"/>
      <c r="D132" s="9"/>
      <c r="E132" s="9"/>
      <c r="F132" s="9"/>
      <c r="G132" s="9"/>
      <c r="H132" s="9"/>
      <c r="I132" s="9"/>
      <c r="J132" s="97"/>
      <c r="K132" s="97"/>
      <c r="L132" s="97"/>
      <c r="M132" s="97"/>
      <c r="N132" s="97"/>
      <c r="O132" s="97"/>
      <c r="P132" s="97"/>
      <c r="Q132" s="97"/>
    </row>
    <row r="133" spans="1:61">
      <c r="A133" s="233"/>
      <c r="B133" s="9"/>
      <c r="C133" s="9"/>
      <c r="D133" s="9"/>
      <c r="E133" s="9"/>
      <c r="F133" s="9"/>
      <c r="G133" s="9"/>
      <c r="H133" s="9"/>
      <c r="I133" s="9"/>
      <c r="J133" s="97"/>
      <c r="K133" s="97"/>
      <c r="L133" s="97"/>
      <c r="M133" s="97"/>
      <c r="N133" s="97"/>
      <c r="O133" s="97"/>
      <c r="P133" s="97"/>
      <c r="Q133" s="97"/>
    </row>
    <row r="134" spans="1:61" s="17" customFormat="1">
      <c r="A134" s="12" t="s">
        <v>89</v>
      </c>
      <c r="B134" s="225"/>
      <c r="C134" s="13">
        <v>2020</v>
      </c>
      <c r="D134" s="13">
        <v>2019</v>
      </c>
      <c r="E134" s="13">
        <v>2018</v>
      </c>
      <c r="F134" s="13">
        <v>2017</v>
      </c>
      <c r="G134" s="13">
        <v>2016</v>
      </c>
      <c r="H134" s="13">
        <v>2015</v>
      </c>
      <c r="I134" s="164">
        <v>2014</v>
      </c>
      <c r="J134" s="13">
        <v>2013</v>
      </c>
      <c r="K134" s="108" t="e">
        <f>#REF!</f>
        <v>#REF!</v>
      </c>
      <c r="L134" s="14" t="e">
        <f>#REF!</f>
        <v>#REF!</v>
      </c>
      <c r="M134" s="14" t="e">
        <f>#REF!</f>
        <v>#REF!</v>
      </c>
      <c r="N134" s="15" t="e">
        <f>#REF!</f>
        <v>#REF!</v>
      </c>
      <c r="O134" s="109"/>
      <c r="P134" s="109"/>
      <c r="Q134" s="109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</row>
    <row r="135" spans="1:61" s="3" customFormat="1">
      <c r="A135" s="44"/>
      <c r="B135" s="85"/>
      <c r="C135" s="85"/>
      <c r="D135" s="85"/>
      <c r="E135" s="85"/>
      <c r="F135" s="85"/>
      <c r="G135" s="85"/>
      <c r="H135" s="85"/>
      <c r="I135" s="177"/>
      <c r="J135" s="187"/>
      <c r="K135" s="110"/>
      <c r="L135" s="98"/>
      <c r="M135" s="98"/>
      <c r="N135" s="99"/>
      <c r="O135" s="100"/>
      <c r="P135" s="100"/>
      <c r="Q135" s="10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</row>
    <row r="136" spans="1:61">
      <c r="A136" s="34" t="s">
        <v>18</v>
      </c>
      <c r="B136" s="230"/>
      <c r="C136" s="101">
        <v>134.60569550930995</v>
      </c>
      <c r="D136" s="101">
        <v>126.22392974753018</v>
      </c>
      <c r="E136" s="101">
        <v>104.86833126940593</v>
      </c>
      <c r="F136" s="101">
        <v>70.99854439027726</v>
      </c>
      <c r="G136" s="101">
        <v>118.76680878976713</v>
      </c>
      <c r="H136" s="101">
        <v>108.20383086375136</v>
      </c>
      <c r="I136" s="102">
        <v>88.107918710581643</v>
      </c>
      <c r="J136" s="188" t="e">
        <f t="shared" ref="E136:Q136" si="51">IF( OR(J33=0, J33="--", J$41=0, J$41="--"), "--", (J33/J$41)*100)</f>
        <v>#REF!</v>
      </c>
      <c r="K136" s="111" t="e">
        <f t="shared" si="51"/>
        <v>#REF!</v>
      </c>
      <c r="L136" s="101" t="e">
        <f t="shared" si="51"/>
        <v>#REF!</v>
      </c>
      <c r="M136" s="101" t="e">
        <f t="shared" si="51"/>
        <v>#REF!</v>
      </c>
      <c r="N136" s="102" t="e">
        <f t="shared" si="51"/>
        <v>#REF!</v>
      </c>
      <c r="O136" s="97" t="e">
        <f t="shared" si="51"/>
        <v>#REF!</v>
      </c>
      <c r="P136" s="97" t="e">
        <f t="shared" si="51"/>
        <v>#REF!</v>
      </c>
      <c r="Q136" s="97" t="e">
        <f t="shared" si="51"/>
        <v>#REF!</v>
      </c>
    </row>
    <row r="137" spans="1:61">
      <c r="A137" s="34" t="s">
        <v>19</v>
      </c>
      <c r="B137" s="230"/>
      <c r="C137" s="103">
        <v>-50.7776560788609</v>
      </c>
      <c r="D137" s="103">
        <v>-56.273326015367729</v>
      </c>
      <c r="E137" s="103">
        <v>-32.320491801404181</v>
      </c>
      <c r="F137" s="103">
        <v>-25.277174621673659</v>
      </c>
      <c r="G137" s="103">
        <v>-48.796326664480155</v>
      </c>
      <c r="H137" s="103">
        <v>-42.623780267437652</v>
      </c>
      <c r="I137" s="104">
        <v>-30.280308339173089</v>
      </c>
      <c r="J137" s="189" t="e">
        <f t="shared" ref="E137:Q137" si="52">IF( OR(J34=0, J34="--", J$41=0, J$41="--"), "--", (J34/J$41)*100)</f>
        <v>#REF!</v>
      </c>
      <c r="K137" s="112" t="e">
        <f t="shared" si="52"/>
        <v>#REF!</v>
      </c>
      <c r="L137" s="103" t="e">
        <f t="shared" si="52"/>
        <v>#REF!</v>
      </c>
      <c r="M137" s="103" t="e">
        <f t="shared" si="52"/>
        <v>#REF!</v>
      </c>
      <c r="N137" s="104" t="e">
        <f t="shared" si="52"/>
        <v>#REF!</v>
      </c>
      <c r="O137" s="105" t="e">
        <f t="shared" si="52"/>
        <v>#REF!</v>
      </c>
      <c r="P137" s="105" t="e">
        <f t="shared" si="52"/>
        <v>#REF!</v>
      </c>
      <c r="Q137" s="105" t="e">
        <f t="shared" si="52"/>
        <v>#REF!</v>
      </c>
    </row>
    <row r="138" spans="1:61">
      <c r="A138" s="34" t="s">
        <v>20</v>
      </c>
      <c r="B138" s="230"/>
      <c r="C138" s="101">
        <v>83.828039430449067</v>
      </c>
      <c r="D138" s="101">
        <v>69.950603732162463</v>
      </c>
      <c r="E138" s="101">
        <v>72.54783946800174</v>
      </c>
      <c r="F138" s="101">
        <v>45.721369768603601</v>
      </c>
      <c r="G138" s="101">
        <v>69.970482125286978</v>
      </c>
      <c r="H138" s="101">
        <v>65.580050596313697</v>
      </c>
      <c r="I138" s="102">
        <v>57.827610371408547</v>
      </c>
      <c r="J138" s="188" t="e">
        <f t="shared" ref="E138:Q138" si="53">IF( OR(J35=0, J35="--", J$41=0, J$41="--"), "--", (J35/J$41)*100)</f>
        <v>#REF!</v>
      </c>
      <c r="K138" s="111" t="e">
        <f t="shared" si="53"/>
        <v>#REF!</v>
      </c>
      <c r="L138" s="101" t="e">
        <f t="shared" si="53"/>
        <v>#REF!</v>
      </c>
      <c r="M138" s="101" t="e">
        <f t="shared" si="53"/>
        <v>#REF!</v>
      </c>
      <c r="N138" s="102" t="e">
        <f t="shared" si="53"/>
        <v>#REF!</v>
      </c>
      <c r="O138" s="97" t="e">
        <f t="shared" si="53"/>
        <v>#REF!</v>
      </c>
      <c r="P138" s="97" t="e">
        <f t="shared" si="53"/>
        <v>#REF!</v>
      </c>
      <c r="Q138" s="97" t="e">
        <f t="shared" si="53"/>
        <v>#REF!</v>
      </c>
    </row>
    <row r="139" spans="1:61">
      <c r="A139" s="34" t="s">
        <v>31</v>
      </c>
      <c r="B139" s="230"/>
      <c r="C139" s="101">
        <v>-3.2146768893756845</v>
      </c>
      <c r="D139" s="101">
        <v>-0.17563117453347968</v>
      </c>
      <c r="E139" s="101" t="s">
        <v>74</v>
      </c>
      <c r="F139" s="101">
        <v>2.357361692650153E-2</v>
      </c>
      <c r="G139" s="101">
        <v>0.22302394227615613</v>
      </c>
      <c r="H139" s="101">
        <v>2.3491145645103</v>
      </c>
      <c r="I139" s="102">
        <v>1.6748423265592152</v>
      </c>
      <c r="J139" s="188" t="e">
        <f t="shared" ref="E139:Q139" si="54">IF( OR(J36=0, J36="--", J$41=0, J$41="--"), "--", (J36/J$41)*100)</f>
        <v>#REF!</v>
      </c>
      <c r="K139" s="111" t="e">
        <f t="shared" si="54"/>
        <v>#REF!</v>
      </c>
      <c r="L139" s="101" t="e">
        <f t="shared" si="54"/>
        <v>#REF!</v>
      </c>
      <c r="M139" s="101" t="e">
        <f t="shared" si="54"/>
        <v>#REF!</v>
      </c>
      <c r="N139" s="102" t="e">
        <f t="shared" si="54"/>
        <v>#REF!</v>
      </c>
      <c r="O139" s="97" t="e">
        <f t="shared" si="54"/>
        <v>#REF!</v>
      </c>
      <c r="P139" s="97" t="e">
        <f t="shared" si="54"/>
        <v>#REF!</v>
      </c>
      <c r="Q139" s="97" t="e">
        <f t="shared" si="54"/>
        <v>#REF!</v>
      </c>
    </row>
    <row r="140" spans="1:61">
      <c r="A140" s="34" t="s">
        <v>21</v>
      </c>
      <c r="B140" s="230"/>
      <c r="C140" s="101">
        <v>1.976998904709748</v>
      </c>
      <c r="D140" s="101">
        <v>3.6059275521405052</v>
      </c>
      <c r="E140" s="101">
        <v>7.6470489669094279</v>
      </c>
      <c r="F140" s="101">
        <v>6.841343313877668</v>
      </c>
      <c r="G140" s="101">
        <v>5.549360446047884</v>
      </c>
      <c r="H140" s="101">
        <v>11.217925551138418</v>
      </c>
      <c r="I140" s="102">
        <v>17.274001401541696</v>
      </c>
      <c r="J140" s="188" t="e">
        <f t="shared" ref="E140:Q140" si="55">IF( OR(J37=0, J37="--", J$41=0, J$41="--"), "--", (J37/J$41)*100)</f>
        <v>#REF!</v>
      </c>
      <c r="K140" s="111" t="e">
        <f t="shared" si="55"/>
        <v>#REF!</v>
      </c>
      <c r="L140" s="101" t="e">
        <f t="shared" si="55"/>
        <v>#REF!</v>
      </c>
      <c r="M140" s="101" t="e">
        <f t="shared" si="55"/>
        <v>#REF!</v>
      </c>
      <c r="N140" s="102" t="e">
        <f t="shared" si="55"/>
        <v>#REF!</v>
      </c>
      <c r="O140" s="97" t="e">
        <f t="shared" si="55"/>
        <v>#REF!</v>
      </c>
      <c r="P140" s="97" t="e">
        <f t="shared" si="55"/>
        <v>#REF!</v>
      </c>
      <c r="Q140" s="97" t="e">
        <f t="shared" si="55"/>
        <v>#REF!</v>
      </c>
    </row>
    <row r="141" spans="1:61">
      <c r="A141" s="34" t="s">
        <v>33</v>
      </c>
      <c r="B141" s="230"/>
      <c r="C141" s="101">
        <v>17.601314348302299</v>
      </c>
      <c r="D141" s="101">
        <v>24.961580680570801</v>
      </c>
      <c r="E141" s="101">
        <v>17.802662151602355</v>
      </c>
      <c r="F141" s="101">
        <v>11.032342790504652</v>
      </c>
      <c r="G141" s="101">
        <v>23.607740242702526</v>
      </c>
      <c r="H141" s="101">
        <v>19.732562341886521</v>
      </c>
      <c r="I141" s="102">
        <v>22.06727400140154</v>
      </c>
      <c r="J141" s="188" t="e">
        <f t="shared" ref="E141:Q141" si="56">IF( OR(J38=0, J38="--", J$41=0, J$41="--"), "--", (J38/J$41)*100)</f>
        <v>#REF!</v>
      </c>
      <c r="K141" s="111" t="e">
        <f t="shared" si="56"/>
        <v>#REF!</v>
      </c>
      <c r="L141" s="101" t="e">
        <f t="shared" si="56"/>
        <v>#REF!</v>
      </c>
      <c r="M141" s="101" t="e">
        <f t="shared" si="56"/>
        <v>#REF!</v>
      </c>
      <c r="N141" s="102" t="e">
        <f t="shared" si="56"/>
        <v>#REF!</v>
      </c>
      <c r="O141" s="97" t="e">
        <f t="shared" si="56"/>
        <v>#REF!</v>
      </c>
      <c r="P141" s="97" t="e">
        <f t="shared" si="56"/>
        <v>#REF!</v>
      </c>
      <c r="Q141" s="97" t="e">
        <f t="shared" si="56"/>
        <v>#REF!</v>
      </c>
    </row>
    <row r="142" spans="1:61">
      <c r="A142" s="34" t="s">
        <v>34</v>
      </c>
      <c r="B142" s="230"/>
      <c r="C142" s="101">
        <v>-0.19167579408543264</v>
      </c>
      <c r="D142" s="101">
        <v>1.6575192096597147</v>
      </c>
      <c r="E142" s="101">
        <v>2.0024494134864739</v>
      </c>
      <c r="F142" s="101">
        <v>36.381370510087585</v>
      </c>
      <c r="G142" s="101">
        <v>0.64939324368645457</v>
      </c>
      <c r="H142" s="101">
        <v>1.1203469461510662</v>
      </c>
      <c r="I142" s="102">
        <v>1.156271899088998</v>
      </c>
      <c r="J142" s="188" t="e">
        <f t="shared" ref="E142:Q142" si="57">IF( OR(J39=0, J39="--", J$41=0, J$41="--"), "--", (J39/J$41)*100)</f>
        <v>#REF!</v>
      </c>
      <c r="K142" s="111" t="e">
        <f t="shared" si="57"/>
        <v>#REF!</v>
      </c>
      <c r="L142" s="101" t="e">
        <f t="shared" si="57"/>
        <v>#REF!</v>
      </c>
      <c r="M142" s="101" t="e">
        <f t="shared" si="57"/>
        <v>#REF!</v>
      </c>
      <c r="N142" s="102" t="e">
        <f t="shared" si="57"/>
        <v>#REF!</v>
      </c>
      <c r="O142" s="97" t="e">
        <f t="shared" si="57"/>
        <v>#REF!</v>
      </c>
      <c r="P142" s="97" t="e">
        <f t="shared" si="57"/>
        <v>#REF!</v>
      </c>
      <c r="Q142" s="97" t="e">
        <f t="shared" si="57"/>
        <v>#REF!</v>
      </c>
    </row>
    <row r="143" spans="1:61">
      <c r="A143" s="34" t="s">
        <v>32</v>
      </c>
      <c r="B143" s="230"/>
      <c r="C143" s="101">
        <v>16.171960569550929</v>
      </c>
      <c r="D143" s="101">
        <v>30.04939626783754</v>
      </c>
      <c r="E143" s="101">
        <v>27.45216053199826</v>
      </c>
      <c r="F143" s="101">
        <v>54.278630231396399</v>
      </c>
      <c r="G143" s="101">
        <v>30.029517874713019</v>
      </c>
      <c r="H143" s="101">
        <v>34.419949403686303</v>
      </c>
      <c r="I143" s="102">
        <v>42.172389628591453</v>
      </c>
      <c r="J143" s="188" t="e">
        <f t="shared" ref="E143:Q143" si="58">IF( OR(J40=0, J40="--", J$41=0, J$41="--"), "--", (J40/J$41)*100)</f>
        <v>#REF!</v>
      </c>
      <c r="K143" s="111" t="e">
        <f t="shared" si="58"/>
        <v>#REF!</v>
      </c>
      <c r="L143" s="101" t="e">
        <f t="shared" si="58"/>
        <v>#REF!</v>
      </c>
      <c r="M143" s="101" t="e">
        <f t="shared" si="58"/>
        <v>#REF!</v>
      </c>
      <c r="N143" s="102" t="e">
        <f t="shared" si="58"/>
        <v>#REF!</v>
      </c>
      <c r="O143" s="97" t="e">
        <f t="shared" si="58"/>
        <v>#REF!</v>
      </c>
      <c r="P143" s="97" t="e">
        <f t="shared" si="58"/>
        <v>#REF!</v>
      </c>
      <c r="Q143" s="97" t="e">
        <f t="shared" si="58"/>
        <v>#REF!</v>
      </c>
    </row>
    <row r="144" spans="1:61">
      <c r="A144" s="34" t="s">
        <v>22</v>
      </c>
      <c r="B144" s="230"/>
      <c r="C144" s="101">
        <v>100</v>
      </c>
      <c r="D144" s="101">
        <v>100</v>
      </c>
      <c r="E144" s="101">
        <v>100</v>
      </c>
      <c r="F144" s="101">
        <v>100</v>
      </c>
      <c r="G144" s="101">
        <v>100</v>
      </c>
      <c r="H144" s="101">
        <v>100</v>
      </c>
      <c r="I144" s="102">
        <v>100</v>
      </c>
      <c r="J144" s="188" t="e">
        <f t="shared" ref="E144:Q144" si="59">IF( OR(J41=0, J41="--", J$41=0, J$41="--"), "--", (J41/J$41)*100)</f>
        <v>#REF!</v>
      </c>
      <c r="K144" s="111" t="e">
        <f t="shared" si="59"/>
        <v>#REF!</v>
      </c>
      <c r="L144" s="101" t="e">
        <f t="shared" si="59"/>
        <v>#REF!</v>
      </c>
      <c r="M144" s="101" t="e">
        <f t="shared" si="59"/>
        <v>#REF!</v>
      </c>
      <c r="N144" s="102" t="e">
        <f t="shared" si="59"/>
        <v>#REF!</v>
      </c>
      <c r="O144" s="97" t="e">
        <f t="shared" si="59"/>
        <v>#REF!</v>
      </c>
      <c r="P144" s="97" t="e">
        <f t="shared" si="59"/>
        <v>#REF!</v>
      </c>
      <c r="Q144" s="97" t="e">
        <f t="shared" si="59"/>
        <v>#REF!</v>
      </c>
    </row>
    <row r="145" spans="1:61">
      <c r="A145" s="34" t="s">
        <v>23</v>
      </c>
      <c r="B145" s="230"/>
      <c r="C145" s="103">
        <v>-35.706462212486308</v>
      </c>
      <c r="D145" s="103">
        <v>-34.615806805708019</v>
      </c>
      <c r="E145" s="103">
        <v>-29.658843056572483</v>
      </c>
      <c r="F145" s="103">
        <v>-20.903285667297435</v>
      </c>
      <c r="G145" s="103">
        <v>-35.97244998360118</v>
      </c>
      <c r="H145" s="103">
        <v>-32.576797976147454</v>
      </c>
      <c r="I145" s="104">
        <v>-29.572529782761038</v>
      </c>
      <c r="J145" s="189" t="e">
        <f t="shared" ref="E145:Q145" si="60">IF( OR(J42=0, J42="--", J$41=0, J$41="--"), "--", (J42/J$41)*100)</f>
        <v>#REF!</v>
      </c>
      <c r="K145" s="112" t="e">
        <f t="shared" si="60"/>
        <v>#REF!</v>
      </c>
      <c r="L145" s="103" t="e">
        <f t="shared" si="60"/>
        <v>#REF!</v>
      </c>
      <c r="M145" s="103" t="e">
        <f t="shared" si="60"/>
        <v>#REF!</v>
      </c>
      <c r="N145" s="104" t="e">
        <f t="shared" si="60"/>
        <v>#REF!</v>
      </c>
      <c r="O145" s="105" t="e">
        <f t="shared" si="60"/>
        <v>#REF!</v>
      </c>
      <c r="P145" s="105" t="e">
        <f t="shared" si="60"/>
        <v>#REF!</v>
      </c>
      <c r="Q145" s="105" t="e">
        <f t="shared" si="60"/>
        <v>#REF!</v>
      </c>
    </row>
    <row r="146" spans="1:61">
      <c r="A146" s="34" t="s">
        <v>25</v>
      </c>
      <c r="B146" s="230"/>
      <c r="C146" s="103">
        <v>-39.315443592552022</v>
      </c>
      <c r="D146" s="103">
        <v>-33.803512623490668</v>
      </c>
      <c r="E146" s="103">
        <v>-22.794658544737821</v>
      </c>
      <c r="F146" s="103">
        <v>-18.004849948090921</v>
      </c>
      <c r="G146" s="103">
        <v>-25.385372253197769</v>
      </c>
      <c r="H146" s="103">
        <v>-24.336826888326708</v>
      </c>
      <c r="I146" s="104">
        <v>-22.368605466012614</v>
      </c>
      <c r="J146" s="189" t="e">
        <f t="shared" ref="E146:Q146" si="61">IF( OR(J43=0, J43="--", J$41=0, J$41="--"), "--", (J43/J$41)*100)</f>
        <v>#REF!</v>
      </c>
      <c r="K146" s="112" t="e">
        <f t="shared" si="61"/>
        <v>#REF!</v>
      </c>
      <c r="L146" s="103" t="e">
        <f t="shared" si="61"/>
        <v>#REF!</v>
      </c>
      <c r="M146" s="103" t="e">
        <f t="shared" si="61"/>
        <v>#REF!</v>
      </c>
      <c r="N146" s="104" t="e">
        <f t="shared" si="61"/>
        <v>#REF!</v>
      </c>
      <c r="O146" s="105" t="e">
        <f t="shared" si="61"/>
        <v>#REF!</v>
      </c>
      <c r="P146" s="105" t="e">
        <f t="shared" si="61"/>
        <v>#REF!</v>
      </c>
      <c r="Q146" s="105" t="e">
        <f t="shared" si="61"/>
        <v>#REF!</v>
      </c>
    </row>
    <row r="147" spans="1:61">
      <c r="A147" s="34" t="s">
        <v>77</v>
      </c>
      <c r="B147" s="230"/>
      <c r="C147" s="103">
        <v>-9.359255202628697</v>
      </c>
      <c r="D147" s="103">
        <v>-11.794731064763996</v>
      </c>
      <c r="E147" s="103">
        <v>-9.2655058849049006</v>
      </c>
      <c r="F147" s="103">
        <v>-6.768731564084292</v>
      </c>
      <c r="G147" s="103">
        <v>-3.955395211544769</v>
      </c>
      <c r="H147" s="103">
        <v>-4.2717744850018073</v>
      </c>
      <c r="I147" s="104">
        <v>-4.3307638402242468</v>
      </c>
      <c r="J147" s="189" t="e">
        <f t="shared" ref="E147:Q147" si="62">IF( OR(J44=0, J44="--", J$41=0, J$41="--"), "--", (J44/J$41)*100)</f>
        <v>#REF!</v>
      </c>
      <c r="K147" s="112" t="e">
        <f t="shared" si="62"/>
        <v>#REF!</v>
      </c>
      <c r="L147" s="103" t="e">
        <f t="shared" si="62"/>
        <v>#REF!</v>
      </c>
      <c r="M147" s="103" t="e">
        <f t="shared" si="62"/>
        <v>#REF!</v>
      </c>
      <c r="N147" s="104" t="e">
        <f t="shared" si="62"/>
        <v>#REF!</v>
      </c>
      <c r="O147" s="105" t="e">
        <f t="shared" si="62"/>
        <v>#REF!</v>
      </c>
      <c r="P147" s="105" t="e">
        <f t="shared" si="62"/>
        <v>#REF!</v>
      </c>
      <c r="Q147" s="105" t="e">
        <f t="shared" si="62"/>
        <v>#REF!</v>
      </c>
    </row>
    <row r="148" spans="1:61">
      <c r="A148" s="34" t="s">
        <v>24</v>
      </c>
      <c r="B148" s="230"/>
      <c r="C148" s="103">
        <v>-84.381161007667032</v>
      </c>
      <c r="D148" s="103">
        <v>-80.214050493962674</v>
      </c>
      <c r="E148" s="103">
        <v>-61.719007486215204</v>
      </c>
      <c r="F148" s="103">
        <v>-45.676867179472644</v>
      </c>
      <c r="G148" s="103">
        <v>-65.313217448343721</v>
      </c>
      <c r="H148" s="103">
        <v>-61.185399349475965</v>
      </c>
      <c r="I148" s="104">
        <v>-56.271899088997898</v>
      </c>
      <c r="J148" s="189" t="e">
        <f t="shared" ref="E148:Q148" si="63">IF( OR(J45=0, J45="--", J$41=0, J$41="--"), "--", (J45/J$41)*100)</f>
        <v>#REF!</v>
      </c>
      <c r="K148" s="112" t="e">
        <f t="shared" si="63"/>
        <v>#REF!</v>
      </c>
      <c r="L148" s="103" t="e">
        <f t="shared" si="63"/>
        <v>#REF!</v>
      </c>
      <c r="M148" s="103" t="e">
        <f t="shared" si="63"/>
        <v>#REF!</v>
      </c>
      <c r="N148" s="104" t="e">
        <f t="shared" si="63"/>
        <v>#REF!</v>
      </c>
      <c r="O148" s="105" t="e">
        <f t="shared" si="63"/>
        <v>#REF!</v>
      </c>
      <c r="P148" s="105" t="e">
        <f t="shared" si="63"/>
        <v>#REF!</v>
      </c>
      <c r="Q148" s="105" t="e">
        <f t="shared" si="63"/>
        <v>#REF!</v>
      </c>
    </row>
    <row r="149" spans="1:61">
      <c r="A149" s="34" t="s">
        <v>35</v>
      </c>
      <c r="B149" s="230"/>
      <c r="C149" s="101">
        <v>15.618838992332968</v>
      </c>
      <c r="D149" s="101">
        <v>19.785949506037319</v>
      </c>
      <c r="E149" s="101">
        <v>38.280992513784796</v>
      </c>
      <c r="F149" s="101">
        <v>54.323132820527356</v>
      </c>
      <c r="G149" s="101">
        <v>34.686782551656279</v>
      </c>
      <c r="H149" s="101">
        <v>38.814600650524035</v>
      </c>
      <c r="I149" s="102">
        <v>43.728100911002102</v>
      </c>
      <c r="J149" s="188" t="e">
        <f t="shared" ref="E149:Q149" si="64">IF( OR(J46=0, J46="--", J$41=0, J$41="--"), "--", (J46/J$41)*100)</f>
        <v>#REF!</v>
      </c>
      <c r="K149" s="111" t="e">
        <f t="shared" si="64"/>
        <v>#REF!</v>
      </c>
      <c r="L149" s="101" t="e">
        <f t="shared" si="64"/>
        <v>#REF!</v>
      </c>
      <c r="M149" s="101" t="e">
        <f t="shared" si="64"/>
        <v>#REF!</v>
      </c>
      <c r="N149" s="102" t="e">
        <f t="shared" si="64"/>
        <v>#REF!</v>
      </c>
      <c r="O149" s="97" t="e">
        <f t="shared" si="64"/>
        <v>#REF!</v>
      </c>
      <c r="P149" s="97" t="e">
        <f t="shared" si="64"/>
        <v>#REF!</v>
      </c>
      <c r="Q149" s="97" t="e">
        <f t="shared" si="64"/>
        <v>#REF!</v>
      </c>
    </row>
    <row r="150" spans="1:61">
      <c r="A150" s="34" t="s">
        <v>65</v>
      </c>
      <c r="B150" s="230"/>
      <c r="C150" s="103">
        <v>-6.9496166484118289</v>
      </c>
      <c r="D150" s="103">
        <v>-8.3315038419319443</v>
      </c>
      <c r="E150" s="103">
        <v>-4.9342948844107166</v>
      </c>
      <c r="F150" s="103">
        <v>-25.371851655705736</v>
      </c>
      <c r="G150" s="103">
        <v>7.6615283699573631</v>
      </c>
      <c r="H150" s="103">
        <v>-97.27502710516805</v>
      </c>
      <c r="I150" s="104">
        <v>-0.42046250875963564</v>
      </c>
      <c r="J150" s="189" t="e">
        <f t="shared" ref="E150:Q150" si="65">IF( OR(J47=0, J47="--", J$41=0, J$41="--"), "--", (J47/J$41)*100)</f>
        <v>#REF!</v>
      </c>
      <c r="K150" s="112" t="e">
        <f t="shared" si="65"/>
        <v>#REF!</v>
      </c>
      <c r="L150" s="103" t="e">
        <f t="shared" si="65"/>
        <v>#REF!</v>
      </c>
      <c r="M150" s="103" t="e">
        <f t="shared" si="65"/>
        <v>#REF!</v>
      </c>
      <c r="N150" s="104" t="e">
        <f t="shared" si="65"/>
        <v>#REF!</v>
      </c>
      <c r="O150" s="105" t="e">
        <f t="shared" si="65"/>
        <v>#REF!</v>
      </c>
      <c r="P150" s="105" t="e">
        <f t="shared" si="65"/>
        <v>#REF!</v>
      </c>
      <c r="Q150" s="105" t="e">
        <f t="shared" si="65"/>
        <v>#REF!</v>
      </c>
    </row>
    <row r="151" spans="1:61">
      <c r="A151" s="34" t="s">
        <v>26</v>
      </c>
      <c r="B151" s="230"/>
      <c r="C151" s="103">
        <v>0.8214676889375685</v>
      </c>
      <c r="D151" s="103">
        <v>0.24698133918770582</v>
      </c>
      <c r="E151" s="103">
        <v>0.33140771178913669</v>
      </c>
      <c r="F151" s="103">
        <v>0.4412264154142061</v>
      </c>
      <c r="G151" s="103">
        <v>-4.3161692358150212</v>
      </c>
      <c r="H151" s="103">
        <v>0.69389230213227326</v>
      </c>
      <c r="I151" s="104">
        <v>2.7330063069376314</v>
      </c>
      <c r="J151" s="189" t="e">
        <f t="shared" ref="E151:Q151" si="66">IF( OR(J48=0, J48="--", J$41=0, J$41="--"), "--", (J48/J$41)*100)</f>
        <v>#REF!</v>
      </c>
      <c r="K151" s="112" t="e">
        <f t="shared" si="66"/>
        <v>#REF!</v>
      </c>
      <c r="L151" s="103" t="e">
        <f t="shared" si="66"/>
        <v>#REF!</v>
      </c>
      <c r="M151" s="103" t="e">
        <f t="shared" si="66"/>
        <v>#REF!</v>
      </c>
      <c r="N151" s="104" t="e">
        <f t="shared" si="66"/>
        <v>#REF!</v>
      </c>
      <c r="O151" s="105" t="e">
        <f t="shared" si="66"/>
        <v>#REF!</v>
      </c>
      <c r="P151" s="105" t="e">
        <f t="shared" si="66"/>
        <v>#REF!</v>
      </c>
      <c r="Q151" s="105" t="e">
        <f t="shared" si="66"/>
        <v>#REF!</v>
      </c>
    </row>
    <row r="152" spans="1:61">
      <c r="A152" s="34" t="s">
        <v>27</v>
      </c>
      <c r="B152" s="230"/>
      <c r="C152" s="101">
        <v>9.4906900328587085</v>
      </c>
      <c r="D152" s="101">
        <v>11.701427003293084</v>
      </c>
      <c r="E152" s="101">
        <v>33.678105341163217</v>
      </c>
      <c r="F152" s="101">
        <v>29.392507580235833</v>
      </c>
      <c r="G152" s="101">
        <v>38.032141685798621</v>
      </c>
      <c r="H152" s="101">
        <v>-57.766534152511753</v>
      </c>
      <c r="I152" s="102">
        <v>46.0406447091801</v>
      </c>
      <c r="J152" s="188" t="e">
        <f t="shared" ref="E152:Q152" si="67">IF( OR(J49=0, J49="--", J$41=0, J$41="--"), "--", (J49/J$41)*100)</f>
        <v>#REF!</v>
      </c>
      <c r="K152" s="111" t="e">
        <f t="shared" si="67"/>
        <v>#REF!</v>
      </c>
      <c r="L152" s="101" t="e">
        <f t="shared" si="67"/>
        <v>#REF!</v>
      </c>
      <c r="M152" s="101" t="e">
        <f t="shared" si="67"/>
        <v>#REF!</v>
      </c>
      <c r="N152" s="102" t="e">
        <f t="shared" si="67"/>
        <v>#REF!</v>
      </c>
      <c r="O152" s="97" t="e">
        <f t="shared" si="67"/>
        <v>#REF!</v>
      </c>
      <c r="P152" s="97" t="e">
        <f t="shared" si="67"/>
        <v>#REF!</v>
      </c>
      <c r="Q152" s="97" t="e">
        <f t="shared" si="67"/>
        <v>#REF!</v>
      </c>
    </row>
    <row r="153" spans="1:61">
      <c r="A153" s="34" t="s">
        <v>28</v>
      </c>
      <c r="B153" s="230"/>
      <c r="C153" s="103">
        <v>-2.2836801752464404</v>
      </c>
      <c r="D153" s="103">
        <v>-2.4753018660812294</v>
      </c>
      <c r="E153" s="103">
        <v>-9.2887513585969295</v>
      </c>
      <c r="F153" s="103">
        <v>-5.912162753294437</v>
      </c>
      <c r="G153" s="103">
        <v>-3.2797638570022956E-2</v>
      </c>
      <c r="H153" s="103">
        <v>-3.6140224069389229E-2</v>
      </c>
      <c r="I153" s="104">
        <v>-10.651716888577436</v>
      </c>
      <c r="J153" s="189" t="e">
        <f t="shared" ref="E153:Q153" si="68">IF( OR(J50=0, J50="--", J$41=0, J$41="--"), "--", (J50/J$41)*100)</f>
        <v>#REF!</v>
      </c>
      <c r="K153" s="112" t="e">
        <f t="shared" si="68"/>
        <v>#REF!</v>
      </c>
      <c r="L153" s="103" t="e">
        <f t="shared" si="68"/>
        <v>#REF!</v>
      </c>
      <c r="M153" s="103" t="e">
        <f t="shared" si="68"/>
        <v>#REF!</v>
      </c>
      <c r="N153" s="104" t="e">
        <f t="shared" si="68"/>
        <v>#REF!</v>
      </c>
      <c r="O153" s="105" t="e">
        <f t="shared" si="68"/>
        <v>#REF!</v>
      </c>
      <c r="P153" s="105" t="e">
        <f t="shared" si="68"/>
        <v>#REF!</v>
      </c>
      <c r="Q153" s="105" t="e">
        <f t="shared" si="68"/>
        <v>#REF!</v>
      </c>
    </row>
    <row r="154" spans="1:61">
      <c r="A154" s="34" t="s">
        <v>29</v>
      </c>
      <c r="B154" s="230"/>
      <c r="C154" s="101">
        <v>7.2070098576122676</v>
      </c>
      <c r="D154" s="101">
        <v>9.226125137211854</v>
      </c>
      <c r="E154" s="101">
        <v>24.389353982566288</v>
      </c>
      <c r="F154" s="101">
        <v>23.480344826941398</v>
      </c>
      <c r="G154" s="101">
        <v>37.999344047228604</v>
      </c>
      <c r="H154" s="101">
        <v>-57.80267437658113</v>
      </c>
      <c r="I154" s="102">
        <v>35.38892782060266</v>
      </c>
      <c r="J154" s="188" t="e">
        <f t="shared" ref="E154:Q154" si="69">IF( OR(J51=0, J51="--", J$41=0, J$41="--"), "--", (J51/J$41)*100)</f>
        <v>#REF!</v>
      </c>
      <c r="K154" s="111" t="e">
        <f t="shared" si="69"/>
        <v>#REF!</v>
      </c>
      <c r="L154" s="101" t="e">
        <f t="shared" si="69"/>
        <v>#REF!</v>
      </c>
      <c r="M154" s="101" t="e">
        <f t="shared" si="69"/>
        <v>#REF!</v>
      </c>
      <c r="N154" s="102" t="e">
        <f t="shared" si="69"/>
        <v>#REF!</v>
      </c>
      <c r="O154" s="97" t="e">
        <f t="shared" si="69"/>
        <v>#REF!</v>
      </c>
      <c r="P154" s="97" t="e">
        <f t="shared" si="69"/>
        <v>#REF!</v>
      </c>
      <c r="Q154" s="97" t="e">
        <f t="shared" si="69"/>
        <v>#REF!</v>
      </c>
    </row>
    <row r="155" spans="1:61">
      <c r="A155" s="34" t="s">
        <v>14</v>
      </c>
      <c r="B155" s="230"/>
      <c r="C155" s="101" t="s">
        <v>74</v>
      </c>
      <c r="D155" s="101" t="s">
        <v>74</v>
      </c>
      <c r="E155" s="101" t="s">
        <v>74</v>
      </c>
      <c r="F155" s="101" t="s">
        <v>74</v>
      </c>
      <c r="G155" s="101" t="s">
        <v>74</v>
      </c>
      <c r="H155" s="101" t="s">
        <v>74</v>
      </c>
      <c r="I155" s="102" t="s">
        <v>74</v>
      </c>
      <c r="J155" s="188" t="e">
        <f t="shared" ref="E155:Q155" si="70">IF( OR(J52=0, J52="--", J$41=0, J$41="--"), "--", (J52/J$41)*100)</f>
        <v>#REF!</v>
      </c>
      <c r="K155" s="111" t="e">
        <f t="shared" si="70"/>
        <v>#REF!</v>
      </c>
      <c r="L155" s="101" t="e">
        <f t="shared" si="70"/>
        <v>#REF!</v>
      </c>
      <c r="M155" s="101" t="e">
        <f t="shared" si="70"/>
        <v>#REF!</v>
      </c>
      <c r="N155" s="102" t="e">
        <f t="shared" si="70"/>
        <v>#REF!</v>
      </c>
      <c r="O155" s="97" t="e">
        <f t="shared" si="70"/>
        <v>#REF!</v>
      </c>
      <c r="P155" s="97" t="e">
        <f t="shared" si="70"/>
        <v>#REF!</v>
      </c>
      <c r="Q155" s="97" t="e">
        <f t="shared" si="70"/>
        <v>#REF!</v>
      </c>
    </row>
    <row r="156" spans="1:61">
      <c r="A156" s="76" t="s">
        <v>30</v>
      </c>
      <c r="B156" s="239"/>
      <c r="C156" s="106">
        <v>7.2070098576122676</v>
      </c>
      <c r="D156" s="106">
        <v>9.226125137211854</v>
      </c>
      <c r="E156" s="106">
        <v>24.389353982566288</v>
      </c>
      <c r="F156" s="106">
        <v>23.480344826941398</v>
      </c>
      <c r="G156" s="106">
        <v>37.999344047228604</v>
      </c>
      <c r="H156" s="106">
        <v>-57.80267437658113</v>
      </c>
      <c r="I156" s="107">
        <v>35.38892782060266</v>
      </c>
      <c r="J156" s="190" t="e">
        <f t="shared" ref="E156:Q156" si="71">IF( OR(J53=0, J53="--", J$41=0, J$41="--"), "--", (J53/J$41)*100)</f>
        <v>#REF!</v>
      </c>
      <c r="K156" s="113" t="e">
        <f t="shared" si="71"/>
        <v>#REF!</v>
      </c>
      <c r="L156" s="106" t="e">
        <f t="shared" si="71"/>
        <v>#REF!</v>
      </c>
      <c r="M156" s="106" t="e">
        <f t="shared" si="71"/>
        <v>#REF!</v>
      </c>
      <c r="N156" s="107" t="e">
        <f t="shared" si="71"/>
        <v>#REF!</v>
      </c>
      <c r="O156" s="97" t="e">
        <f t="shared" si="71"/>
        <v>#REF!</v>
      </c>
      <c r="P156" s="97" t="e">
        <f t="shared" si="71"/>
        <v>#REF!</v>
      </c>
      <c r="Q156" s="97" t="e">
        <f t="shared" si="71"/>
        <v>#REF!</v>
      </c>
    </row>
    <row r="157" spans="1:61">
      <c r="A157" s="233"/>
      <c r="B157" s="9"/>
      <c r="C157" s="9"/>
      <c r="D157" s="9"/>
      <c r="E157" s="9"/>
      <c r="F157" s="9"/>
      <c r="G157" s="9"/>
      <c r="H157" s="9"/>
      <c r="I157" s="9"/>
      <c r="J157" s="97"/>
      <c r="K157" s="97"/>
      <c r="L157" s="97"/>
      <c r="M157" s="97"/>
      <c r="N157" s="97"/>
      <c r="O157" s="97"/>
      <c r="P157" s="97"/>
      <c r="Q157" s="97"/>
    </row>
    <row r="158" spans="1:61" s="17" customFormat="1">
      <c r="A158" s="12" t="s">
        <v>37</v>
      </c>
      <c r="B158" s="225"/>
      <c r="C158" s="205">
        <v>2020</v>
      </c>
      <c r="D158" s="205">
        <v>2019</v>
      </c>
      <c r="E158" s="205">
        <v>2018</v>
      </c>
      <c r="F158" s="205">
        <v>2017</v>
      </c>
      <c r="G158" s="205">
        <v>2016</v>
      </c>
      <c r="H158" s="205">
        <v>2015</v>
      </c>
      <c r="I158" s="206">
        <v>2014</v>
      </c>
      <c r="J158" s="13">
        <v>2013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5" t="e">
        <f>#REF!</f>
        <v>#REF!</v>
      </c>
      <c r="O158" s="114" t="e">
        <f>#REF!</f>
        <v>#REF!</v>
      </c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</row>
    <row r="159" spans="1:61" s="3" customFormat="1">
      <c r="A159" s="44"/>
      <c r="B159" s="57"/>
      <c r="C159" s="207"/>
      <c r="D159" s="207"/>
      <c r="E159" s="207"/>
      <c r="F159" s="207"/>
      <c r="G159" s="207"/>
      <c r="H159" s="207"/>
      <c r="I159" s="214"/>
      <c r="J159" s="197"/>
      <c r="K159" s="115"/>
      <c r="L159" s="115"/>
      <c r="M159" s="115"/>
      <c r="N159" s="116"/>
      <c r="P159" s="117" t="e">
        <f>#REF!</f>
        <v>#REF!</v>
      </c>
      <c r="Q159" s="117" t="e">
        <f>#REF!</f>
        <v>#REF!</v>
      </c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</row>
    <row r="160" spans="1:61" s="40" customFormat="1">
      <c r="A160" s="204" t="s">
        <v>38</v>
      </c>
      <c r="B160" s="240"/>
      <c r="C160" s="208"/>
      <c r="D160" s="208"/>
      <c r="E160" s="208"/>
      <c r="F160" s="208"/>
      <c r="G160" s="208"/>
      <c r="H160" s="208"/>
      <c r="I160" s="215"/>
      <c r="J160" s="198"/>
      <c r="K160" s="118"/>
      <c r="L160" s="118"/>
      <c r="M160" s="118"/>
      <c r="N160" s="119"/>
      <c r="O160" s="120"/>
      <c r="P160" s="120"/>
      <c r="Q160" s="12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</row>
    <row r="161" spans="1:61">
      <c r="A161" s="211" t="s">
        <v>41</v>
      </c>
      <c r="B161" s="241"/>
      <c r="C161" s="209">
        <v>0.28321600816075304</v>
      </c>
      <c r="D161" s="209">
        <v>0.40434897649917012</v>
      </c>
      <c r="E161" s="209">
        <v>1.3795886089953917</v>
      </c>
      <c r="F161" s="209">
        <v>1.8160711112363705</v>
      </c>
      <c r="G161" s="209">
        <v>1.8193505445548899</v>
      </c>
      <c r="H161" s="209">
        <v>-2.8732956249541579</v>
      </c>
      <c r="I161" s="216">
        <v>1.8638331481802712</v>
      </c>
      <c r="J161" s="111" t="e">
        <f>#REF!</f>
        <v>#REF!</v>
      </c>
      <c r="K161" s="101" t="e">
        <f>#REF!</f>
        <v>#REF!</v>
      </c>
      <c r="L161" s="101" t="e">
        <f>#REF!</f>
        <v>#REF!</v>
      </c>
      <c r="M161" s="101" t="e">
        <f>#REF!</f>
        <v>#REF!</v>
      </c>
      <c r="N161" s="102" t="e">
        <f>#REF!</f>
        <v>#REF!</v>
      </c>
      <c r="O161" s="97" t="e">
        <f>#REF!</f>
        <v>#REF!</v>
      </c>
      <c r="P161" s="97" t="e">
        <f>#REF!</f>
        <v>#REF!</v>
      </c>
      <c r="Q161" s="97" t="e">
        <f>#REF!</f>
        <v>#REF!</v>
      </c>
    </row>
    <row r="162" spans="1:61">
      <c r="A162" s="211" t="s">
        <v>57</v>
      </c>
      <c r="B162" s="241"/>
      <c r="C162" s="209">
        <v>2.8156357645649241</v>
      </c>
      <c r="D162" s="209">
        <v>3.7007683332232566</v>
      </c>
      <c r="E162" s="209">
        <v>11.142809950686575</v>
      </c>
      <c r="F162" s="209">
        <v>14.704293046265354</v>
      </c>
      <c r="G162" s="209">
        <v>12.483837600206879</v>
      </c>
      <c r="H162" s="209">
        <v>-19.691709142843074</v>
      </c>
      <c r="I162" s="216">
        <v>9.7475293390982092</v>
      </c>
      <c r="J162" s="111" t="e">
        <f>IF( OR(J53=0, J53="--", J26=0, J26="--"), "--", (J53/J26)*12/#REF!*100)</f>
        <v>#REF!</v>
      </c>
      <c r="K162" s="101" t="e">
        <f>IF( OR(K53=0, K53="--", K26=0, K26="--"), "--", (K53/K26)*12/#REF!*100)</f>
        <v>#REF!</v>
      </c>
      <c r="L162" s="101" t="e">
        <f>IF( OR(L53=0, L53="--", L26=0, L26="--"), "--", (L53/L26)*12/#REF!*100)</f>
        <v>#REF!</v>
      </c>
      <c r="M162" s="101" t="e">
        <f>IF( OR(M53=0, M53="--", M26=0, M26="--"), "--", (M53/M26)*12/#REF!*100)</f>
        <v>#REF!</v>
      </c>
      <c r="N162" s="102" t="e">
        <f>IF( OR(N53=0, N53="--", N26=0, N26="--"), "--", (N53/N26)*12/#REF!*100)</f>
        <v>#REF!</v>
      </c>
      <c r="O162" s="97" t="e">
        <f>IF( OR(O53=0, O53="--", O26=0, O26="--"), "--", (O53/O26)*12/#REF!*100)</f>
        <v>#REF!</v>
      </c>
      <c r="P162" s="97" t="e">
        <f>IF( OR(P53=0, P53="--", P26=0, P26="--"), "--", (P53/P26)*12/#REF!*100)</f>
        <v>#REF!</v>
      </c>
      <c r="Q162" s="97" t="e">
        <f>IF( OR(Q53=0, Q53="--", Q26=0, Q26="--"), "--", (Q53/Q26)*12/#REF!*100)</f>
        <v>#REF!</v>
      </c>
    </row>
    <row r="163" spans="1:61">
      <c r="A163" s="211" t="s">
        <v>62</v>
      </c>
      <c r="B163" s="241"/>
      <c r="C163" s="209">
        <v>2.8156357645649241</v>
      </c>
      <c r="D163" s="209">
        <v>3.7007683332232566</v>
      </c>
      <c r="E163" s="209">
        <v>11.142809950686575</v>
      </c>
      <c r="F163" s="209">
        <v>14.704293046265354</v>
      </c>
      <c r="G163" s="209">
        <v>12.483837600206879</v>
      </c>
      <c r="H163" s="209">
        <v>-19.691709142843074</v>
      </c>
      <c r="I163" s="216">
        <v>9.7475293390982092</v>
      </c>
      <c r="J163" s="195" t="e">
        <f t="shared" ref="J163:Q163" si="72">+J51/J26</f>
        <v>#REF!</v>
      </c>
      <c r="K163" s="193" t="e">
        <f t="shared" si="72"/>
        <v>#REF!</v>
      </c>
      <c r="L163" s="193" t="e">
        <f t="shared" si="72"/>
        <v>#REF!</v>
      </c>
      <c r="M163" s="193" t="e">
        <f t="shared" si="72"/>
        <v>#REF!</v>
      </c>
      <c r="N163" s="193" t="e">
        <f t="shared" si="72"/>
        <v>#REF!</v>
      </c>
      <c r="O163" s="193" t="e">
        <f t="shared" si="72"/>
        <v>#REF!</v>
      </c>
      <c r="P163" s="193" t="e">
        <f t="shared" si="72"/>
        <v>#REF!</v>
      </c>
      <c r="Q163" s="193" t="e">
        <f t="shared" si="72"/>
        <v>#REF!</v>
      </c>
    </row>
    <row r="164" spans="1:61">
      <c r="A164" s="211" t="s">
        <v>42</v>
      </c>
      <c r="B164" s="241"/>
      <c r="C164" s="209">
        <v>37.723259693234063</v>
      </c>
      <c r="D164" s="209">
        <v>44.582137577180625</v>
      </c>
      <c r="E164" s="209">
        <v>30.820068756861485</v>
      </c>
      <c r="F164" s="209">
        <v>35.602384300621218</v>
      </c>
      <c r="G164" s="209">
        <v>41.085827902352811</v>
      </c>
      <c r="H164" s="209">
        <v>39.392117568470276</v>
      </c>
      <c r="I164" s="216">
        <v>34.367294997216256</v>
      </c>
      <c r="J164" s="111" t="e">
        <f t="shared" ref="J164:Q164" si="73">IF( OR(J34="--", J34=0, J33=0, J33="--"), "--", (-J34/J33)*100)</f>
        <v>#REF!</v>
      </c>
      <c r="K164" s="101" t="e">
        <f t="shared" si="73"/>
        <v>#REF!</v>
      </c>
      <c r="L164" s="101" t="e">
        <f t="shared" si="73"/>
        <v>#REF!</v>
      </c>
      <c r="M164" s="101" t="e">
        <f t="shared" si="73"/>
        <v>#REF!</v>
      </c>
      <c r="N164" s="102" t="e">
        <f t="shared" si="73"/>
        <v>#REF!</v>
      </c>
      <c r="O164" s="97" t="e">
        <f t="shared" si="73"/>
        <v>#REF!</v>
      </c>
      <c r="P164" s="97" t="e">
        <f t="shared" si="73"/>
        <v>#REF!</v>
      </c>
      <c r="Q164" s="97" t="e">
        <f t="shared" si="73"/>
        <v>#REF!</v>
      </c>
    </row>
    <row r="165" spans="1:61" ht="18">
      <c r="A165" s="211" t="s">
        <v>85</v>
      </c>
      <c r="B165" s="241"/>
      <c r="C165" s="209">
        <v>5.7578645155624466</v>
      </c>
      <c r="D165" s="209">
        <v>5.8852852735858292</v>
      </c>
      <c r="E165" s="209">
        <v>6.3027074038241757</v>
      </c>
      <c r="F165" s="209">
        <v>5.7823551360457355</v>
      </c>
      <c r="G165" s="209">
        <v>6.1052421184639467</v>
      </c>
      <c r="H165" s="209">
        <v>9.0878175486283954</v>
      </c>
      <c r="I165" s="216">
        <v>23.340599658541596</v>
      </c>
      <c r="J165" s="111" t="e">
        <f>IF( OR(#REF!="--",#REF!= "--"), "--",#REF! -#REF!)</f>
        <v>#REF!</v>
      </c>
      <c r="K165" s="101" t="e">
        <f>IF( OR(#REF!="--",#REF!= "--"), "--",#REF! -#REF!)</f>
        <v>#REF!</v>
      </c>
      <c r="L165" s="101" t="e">
        <f>IF( OR(#REF!="--",#REF!= "--"), "--",#REF! -#REF!)</f>
        <v>#REF!</v>
      </c>
      <c r="M165" s="101" t="e">
        <f>IF( OR(#REF!="--",#REF!= "--"), "--",#REF! -#REF!)</f>
        <v>#REF!</v>
      </c>
      <c r="N165" s="102" t="e">
        <f>IF( OR(#REF!="--",#REF!= "--"), "--",#REF! -#REF!)</f>
        <v>#REF!</v>
      </c>
      <c r="O165" s="97" t="e">
        <f>IF( OR(#REF!="--",#REF!= "--"), "--",#REF! -#REF!)</f>
        <v>#REF!</v>
      </c>
      <c r="P165" s="97" t="e">
        <f>IF( OR(#REF!="--",#REF!= "--"), "--",#REF! -#REF!)</f>
        <v>#REF!</v>
      </c>
      <c r="Q165" s="97" t="e">
        <f>IF( OR(#REF!="--",#REF!= "--"), "--",#REF! -#REF!)</f>
        <v>#REF!</v>
      </c>
    </row>
    <row r="166" spans="1:61" ht="18">
      <c r="A166" s="211" t="s">
        <v>86</v>
      </c>
      <c r="B166" s="241"/>
      <c r="C166" s="209">
        <v>3.6326398876057846</v>
      </c>
      <c r="D166" s="209">
        <v>3.2871304982580307</v>
      </c>
      <c r="E166" s="209">
        <v>4.3917981884504558</v>
      </c>
      <c r="F166" s="209">
        <v>3.7522800270968868</v>
      </c>
      <c r="G166" s="209">
        <v>3.6138582162846875</v>
      </c>
      <c r="H166" s="209">
        <v>5.5740372122429394</v>
      </c>
      <c r="I166" s="216">
        <v>15.930501930501931</v>
      </c>
      <c r="J166" s="191" t="e">
        <f t="shared" ref="J166:Q166" si="74">J35/AVERAGE(SUM(J6:J9,K6:K9))</f>
        <v>#REF!</v>
      </c>
      <c r="K166" s="191" t="e">
        <f t="shared" si="74"/>
        <v>#REF!</v>
      </c>
      <c r="L166" s="191" t="e">
        <f t="shared" si="74"/>
        <v>#REF!</v>
      </c>
      <c r="M166" s="191" t="e">
        <f t="shared" si="74"/>
        <v>#REF!</v>
      </c>
      <c r="N166" s="191" t="e">
        <f t="shared" si="74"/>
        <v>#REF!</v>
      </c>
      <c r="O166" s="191" t="e">
        <f t="shared" si="74"/>
        <v>#REF!</v>
      </c>
      <c r="P166" s="191" t="e">
        <f t="shared" si="74"/>
        <v>#REF!</v>
      </c>
      <c r="Q166" s="191" t="e">
        <f t="shared" si="74"/>
        <v>#REF!</v>
      </c>
    </row>
    <row r="167" spans="1:61">
      <c r="A167" s="211" t="s">
        <v>43</v>
      </c>
      <c r="B167" s="241"/>
      <c r="C167" s="209">
        <v>16.171960569550929</v>
      </c>
      <c r="D167" s="209">
        <v>30.04939626783754</v>
      </c>
      <c r="E167" s="209">
        <v>27.45216053199826</v>
      </c>
      <c r="F167" s="209">
        <v>54.278630231396399</v>
      </c>
      <c r="G167" s="209">
        <v>30.029517874713019</v>
      </c>
      <c r="H167" s="209">
        <v>34.419949403686303</v>
      </c>
      <c r="I167" s="216">
        <v>42.172389628591453</v>
      </c>
      <c r="J167" s="192" t="e">
        <f t="shared" ref="J167:Q167" si="75">IF( OR(J40=0, J40="--", J41=0, J41="--"), "--", (J40/J41))</f>
        <v>#REF!</v>
      </c>
      <c r="K167" s="192" t="e">
        <f t="shared" si="75"/>
        <v>#REF!</v>
      </c>
      <c r="L167" s="192" t="e">
        <f t="shared" si="75"/>
        <v>#REF!</v>
      </c>
      <c r="M167" s="192" t="e">
        <f t="shared" si="75"/>
        <v>#REF!</v>
      </c>
      <c r="N167" s="192" t="e">
        <f t="shared" si="75"/>
        <v>#REF!</v>
      </c>
      <c r="O167" s="192" t="e">
        <f t="shared" si="75"/>
        <v>#REF!</v>
      </c>
      <c r="P167" s="192" t="e">
        <f t="shared" si="75"/>
        <v>#REF!</v>
      </c>
      <c r="Q167" s="192" t="e">
        <f t="shared" si="75"/>
        <v>#REF!</v>
      </c>
    </row>
    <row r="168" spans="1:61">
      <c r="A168" s="212" t="s">
        <v>44</v>
      </c>
      <c r="B168" s="242"/>
      <c r="C168" s="209">
        <v>24.062319676860934</v>
      </c>
      <c r="D168" s="209">
        <v>21.153846153846153</v>
      </c>
      <c r="E168" s="209">
        <v>27.580979584512765</v>
      </c>
      <c r="F168" s="209">
        <v>20.114523189814214</v>
      </c>
      <c r="G168" s="209">
        <v>8.6236633321835121E-2</v>
      </c>
      <c r="H168" s="209">
        <v>-6.2562562562562568E-2</v>
      </c>
      <c r="I168" s="216">
        <v>23.135464231354639</v>
      </c>
      <c r="J168" s="192" t="e">
        <f t="shared" ref="J168:Q168" si="76">IF( OR(J50=0, J50="--", J49=0, J49="--"), "--", -(J50/J49))</f>
        <v>#REF!</v>
      </c>
      <c r="K168" s="192" t="e">
        <f t="shared" si="76"/>
        <v>#REF!</v>
      </c>
      <c r="L168" s="192" t="e">
        <f t="shared" si="76"/>
        <v>#REF!</v>
      </c>
      <c r="M168" s="192" t="e">
        <f t="shared" si="76"/>
        <v>#REF!</v>
      </c>
      <c r="N168" s="192" t="e">
        <f t="shared" si="76"/>
        <v>#REF!</v>
      </c>
      <c r="O168" s="192" t="e">
        <f t="shared" si="76"/>
        <v>#REF!</v>
      </c>
      <c r="P168" s="192" t="e">
        <f t="shared" si="76"/>
        <v>#REF!</v>
      </c>
      <c r="Q168" s="192" t="e">
        <f t="shared" si="76"/>
        <v>#REF!</v>
      </c>
    </row>
    <row r="169" spans="1:61" ht="18">
      <c r="A169" s="211" t="s">
        <v>87</v>
      </c>
      <c r="B169" s="241"/>
      <c r="C169" s="209">
        <v>84.381161007667032</v>
      </c>
      <c r="D169" s="209">
        <v>80.214050493962674</v>
      </c>
      <c r="E169" s="209">
        <v>61.719007486215204</v>
      </c>
      <c r="F169" s="209">
        <v>45.676867179472644</v>
      </c>
      <c r="G169" s="209">
        <v>65.313217448343721</v>
      </c>
      <c r="H169" s="209">
        <v>61.185399349475965</v>
      </c>
      <c r="I169" s="216">
        <v>56.271899088997898</v>
      </c>
      <c r="J169" s="196" t="str">
        <f t="shared" ref="J169:Q169" si="77">IF(ISNUMBER(J148), -J148, "--")</f>
        <v>--</v>
      </c>
      <c r="K169" s="121" t="str">
        <f t="shared" si="77"/>
        <v>--</v>
      </c>
      <c r="L169" s="121" t="str">
        <f t="shared" si="77"/>
        <v>--</v>
      </c>
      <c r="M169" s="121" t="str">
        <f t="shared" si="77"/>
        <v>--</v>
      </c>
      <c r="N169" s="121" t="str">
        <f t="shared" si="77"/>
        <v>--</v>
      </c>
      <c r="O169" s="121" t="str">
        <f t="shared" si="77"/>
        <v>--</v>
      </c>
      <c r="P169" s="121" t="str">
        <f t="shared" si="77"/>
        <v>--</v>
      </c>
      <c r="Q169" s="121" t="str">
        <f t="shared" si="77"/>
        <v>--</v>
      </c>
    </row>
    <row r="170" spans="1:61">
      <c r="A170" s="211" t="s">
        <v>45</v>
      </c>
      <c r="B170" s="241"/>
      <c r="C170" s="209">
        <v>35.706462212486308</v>
      </c>
      <c r="D170" s="209">
        <v>34.615806805708019</v>
      </c>
      <c r="E170" s="209">
        <v>29.658843056572483</v>
      </c>
      <c r="F170" s="209">
        <v>20.903285667297435</v>
      </c>
      <c r="G170" s="209">
        <v>35.97244998360118</v>
      </c>
      <c r="H170" s="209">
        <v>32.576797976147454</v>
      </c>
      <c r="I170" s="216">
        <v>29.572529782761038</v>
      </c>
      <c r="J170" s="111" t="e">
        <f>IF(#REF!=0,"--",-J145)</f>
        <v>#REF!</v>
      </c>
      <c r="K170" s="101" t="e">
        <f>IF(#REF!=0,"--",-K145)</f>
        <v>#REF!</v>
      </c>
      <c r="L170" s="101" t="e">
        <f>IF(#REF!=0,"--",-L145)</f>
        <v>#REF!</v>
      </c>
      <c r="M170" s="101" t="e">
        <f>IF(#REF!=0,"--",-M145)</f>
        <v>#REF!</v>
      </c>
      <c r="N170" s="102" t="e">
        <f>IF(#REF!=0,"--",-N145)</f>
        <v>#REF!</v>
      </c>
      <c r="O170" s="97" t="e">
        <f>IF(#REF!=0,"--",-O145)</f>
        <v>#REF!</v>
      </c>
      <c r="P170" s="97" t="e">
        <f>IF(#REF!=0,"--",-P145)</f>
        <v>#REF!</v>
      </c>
      <c r="Q170" s="97" t="e">
        <f>IF(#REF!=0,"--",-Q145)</f>
        <v>#REF!</v>
      </c>
    </row>
    <row r="171" spans="1:61">
      <c r="A171" s="211" t="s">
        <v>46</v>
      </c>
      <c r="B171" s="241"/>
      <c r="C171" s="209">
        <v>42.315680166147459</v>
      </c>
      <c r="D171" s="209">
        <v>43.15429353404037</v>
      </c>
      <c r="E171" s="209">
        <v>48.054633839010954</v>
      </c>
      <c r="F171" s="209">
        <v>45.763396130397169</v>
      </c>
      <c r="G171" s="209">
        <v>55.076830370593555</v>
      </c>
      <c r="H171" s="209">
        <v>53.242764323685762</v>
      </c>
      <c r="I171" s="216">
        <v>52.552926525529266</v>
      </c>
      <c r="J171" s="111" t="e">
        <f t="shared" ref="J171:Q171" si="78">IF( OR(J42=0, J42="--", J45=0, J45="--"), "--", (J42/J45)*100)</f>
        <v>#REF!</v>
      </c>
      <c r="K171" s="101" t="e">
        <f t="shared" si="78"/>
        <v>#REF!</v>
      </c>
      <c r="L171" s="101" t="e">
        <f t="shared" si="78"/>
        <v>#REF!</v>
      </c>
      <c r="M171" s="101" t="e">
        <f t="shared" si="78"/>
        <v>#REF!</v>
      </c>
      <c r="N171" s="102" t="e">
        <f t="shared" si="78"/>
        <v>#REF!</v>
      </c>
      <c r="O171" s="97" t="e">
        <f t="shared" si="78"/>
        <v>#REF!</v>
      </c>
      <c r="P171" s="97" t="e">
        <f t="shared" si="78"/>
        <v>#REF!</v>
      </c>
      <c r="Q171" s="97" t="e">
        <f t="shared" si="78"/>
        <v>#REF!</v>
      </c>
    </row>
    <row r="172" spans="1:61" s="40" customFormat="1">
      <c r="A172" s="204" t="s">
        <v>73</v>
      </c>
      <c r="B172" s="240"/>
      <c r="C172" s="118"/>
      <c r="D172" s="118"/>
      <c r="E172" s="118"/>
      <c r="F172" s="118"/>
      <c r="G172" s="118"/>
      <c r="H172" s="118"/>
      <c r="I172" s="119"/>
      <c r="J172" s="198"/>
      <c r="K172" s="118"/>
      <c r="L172" s="118"/>
      <c r="M172" s="118"/>
      <c r="N172" s="119"/>
      <c r="O172" s="120"/>
      <c r="P172" s="120"/>
      <c r="Q172" s="12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</row>
    <row r="173" spans="1:61">
      <c r="A173" s="211" t="s">
        <v>47</v>
      </c>
      <c r="B173" s="241"/>
      <c r="C173" s="210">
        <v>115.70966514459664</v>
      </c>
      <c r="D173" s="210">
        <v>121.01585797797323</v>
      </c>
      <c r="E173" s="210">
        <v>119.37785598257504</v>
      </c>
      <c r="F173" s="210">
        <v>112.15135117465726</v>
      </c>
      <c r="G173" s="210">
        <v>118.70606115912142</v>
      </c>
      <c r="H173" s="210">
        <v>101.58642206263954</v>
      </c>
      <c r="I173" s="217">
        <v>101.37232661986656</v>
      </c>
      <c r="J173" s="111" t="e">
        <f t="shared" ref="J173:Q173" si="79">IF( OR(J11=0, J11="--", J18=0, J18="--"), "--", (J11/J18)*100)</f>
        <v>#REF!</v>
      </c>
      <c r="K173" s="101" t="e">
        <f t="shared" si="79"/>
        <v>#REF!</v>
      </c>
      <c r="L173" s="101" t="e">
        <f t="shared" si="79"/>
        <v>#REF!</v>
      </c>
      <c r="M173" s="101" t="e">
        <f t="shared" si="79"/>
        <v>#REF!</v>
      </c>
      <c r="N173" s="102" t="e">
        <f t="shared" si="79"/>
        <v>#REF!</v>
      </c>
      <c r="O173" s="97" t="e">
        <f t="shared" si="79"/>
        <v>#REF!</v>
      </c>
      <c r="P173" s="97" t="e">
        <f t="shared" si="79"/>
        <v>#REF!</v>
      </c>
      <c r="Q173" s="97" t="e">
        <f t="shared" si="79"/>
        <v>#REF!</v>
      </c>
    </row>
    <row r="174" spans="1:61" ht="18">
      <c r="A174" s="211" t="s">
        <v>88</v>
      </c>
      <c r="B174" s="241"/>
      <c r="C174" s="210">
        <v>99.323060842866823</v>
      </c>
      <c r="D174" s="210">
        <v>106.32815603776085</v>
      </c>
      <c r="E174" s="210">
        <v>103.38206451214842</v>
      </c>
      <c r="F174" s="210">
        <v>101.42981303480963</v>
      </c>
      <c r="G174" s="210">
        <v>118.7044363025793</v>
      </c>
      <c r="H174" s="210">
        <v>101.56662010071243</v>
      </c>
      <c r="I174" s="217">
        <v>101.37232661986656</v>
      </c>
      <c r="J174" s="111" t="e">
        <f>IF( OR(J11=0, J11="--",#REF!= 0,#REF!= "--"), "--", (J11/#REF!)*100)</f>
        <v>#REF!</v>
      </c>
      <c r="K174" s="101" t="e">
        <f>IF( OR(K11=0, K11="--",#REF!= 0,#REF!= "--"), "--", (K11/#REF!)*100)</f>
        <v>#REF!</v>
      </c>
      <c r="L174" s="101" t="e">
        <f>IF( OR(L11=0, L11="--",#REF!= 0,#REF!= "--"), "--", (L11/#REF!)*100)</f>
        <v>#REF!</v>
      </c>
      <c r="M174" s="101" t="e">
        <f>IF( OR(M11=0, M11="--",#REF!= 0,#REF!= "--"), "--", (M11/#REF!)*100)</f>
        <v>#REF!</v>
      </c>
      <c r="N174" s="102" t="e">
        <f>IF( OR(N11=0, N11="--",#REF!= 0,#REF!= "--"), "--", (N11/#REF!)*100)</f>
        <v>#REF!</v>
      </c>
      <c r="O174" s="97" t="e">
        <f>IF( OR(O11=0, O11="--",#REF!= 0,#REF!= "--"), "--", (O11/#REF!)*100)</f>
        <v>#REF!</v>
      </c>
      <c r="P174" s="97" t="e">
        <f>IF( OR(P11=0, P11="--",#REF!= 0,#REF!= "--"), "--", (P11/#REF!)*100)</f>
        <v>#REF!</v>
      </c>
      <c r="Q174" s="97" t="e">
        <f>IF( OR(Q11=0, Q11="--",#REF!= 0,#REF!= "--"), "--", (Q11/#REF!)*100)</f>
        <v>#REF!</v>
      </c>
    </row>
    <row r="175" spans="1:61">
      <c r="A175" s="211" t="s">
        <v>91</v>
      </c>
      <c r="B175" s="241"/>
      <c r="C175" s="210">
        <v>78.530461861607222</v>
      </c>
      <c r="D175" s="210">
        <v>81.116109013061362</v>
      </c>
      <c r="E175" s="210">
        <v>80.782728178213077</v>
      </c>
      <c r="F175" s="210">
        <v>80.170520548389732</v>
      </c>
      <c r="G175" s="210">
        <v>81.706937481669499</v>
      </c>
      <c r="H175" s="210">
        <v>78.62867361911988</v>
      </c>
      <c r="I175" s="217">
        <v>73.229081702325544</v>
      </c>
      <c r="J175" s="111" t="e">
        <f>IF( OR(#REF!=0,#REF!= "--",#REF!= 0,#REF!= "--"), "--", (#REF!/#REF!)*100)</f>
        <v>#REF!</v>
      </c>
      <c r="K175" s="101" t="e">
        <f>IF( OR(#REF!=0,#REF!= "--",#REF!= 0,#REF!= "--"), "--", (#REF!/#REF!)*100)</f>
        <v>#REF!</v>
      </c>
      <c r="L175" s="101" t="e">
        <f>IF( OR(#REF!=0,#REF!= "--",#REF!= 0,#REF!= "--"), "--", (#REF!/#REF!)*100)</f>
        <v>#REF!</v>
      </c>
      <c r="M175" s="101" t="e">
        <f>IF( OR(#REF!=0,#REF!= "--",#REF!= 0,#REF!= "--"), "--", (#REF!/#REF!)*100)</f>
        <v>#REF!</v>
      </c>
      <c r="N175" s="102" t="e">
        <f>IF( OR(#REF!=0,#REF!= "--",#REF!= 0,#REF!= "--"), "--", (#REF!/#REF!)*100)</f>
        <v>#REF!</v>
      </c>
      <c r="O175" s="97" t="e">
        <f>IF( OR(#REF!=0,#REF!= "--",#REF!= 0,#REF!= "--"), "--", (#REF!/#REF!)*100)</f>
        <v>#REF!</v>
      </c>
      <c r="P175" s="97" t="e">
        <f>IF( OR(#REF!=0,#REF!= "--",#REF!= 0,#REF!= "--"), "--", (#REF!/#REF!)*100)</f>
        <v>#REF!</v>
      </c>
      <c r="Q175" s="97" t="e">
        <f>IF( OR(#REF!=0,#REF!= "--",#REF!= 0,#REF!= "--"), "--", (#REF!/#REF!)*100)</f>
        <v>#REF!</v>
      </c>
    </row>
    <row r="176" spans="1:61" ht="18">
      <c r="A176" s="211" t="s">
        <v>90</v>
      </c>
      <c r="B176" s="241"/>
      <c r="C176" s="210">
        <v>11.004319259334185</v>
      </c>
      <c r="D176" s="210">
        <v>12.135761191157721</v>
      </c>
      <c r="E176" s="210">
        <v>10.825237191729927</v>
      </c>
      <c r="F176" s="210">
        <v>12.466777054427668</v>
      </c>
      <c r="G176" s="210">
        <v>10.812149352216673</v>
      </c>
      <c r="H176" s="210">
        <v>12.562090150715546</v>
      </c>
      <c r="I176" s="217">
        <v>19.382757513462042</v>
      </c>
      <c r="J176" s="111" t="e">
        <f>IF( OR(#REF!=0,#REF!= "--", J15=0, J15="--"), "--", (#REF!/J15)*100)</f>
        <v>#REF!</v>
      </c>
      <c r="K176" s="101" t="e">
        <f>IF( OR(#REF!=0,#REF!= "--", K15=0, K15="--"), "--", (#REF!/K15)*100)</f>
        <v>#REF!</v>
      </c>
      <c r="L176" s="101" t="e">
        <f>IF( OR(#REF!=0,#REF!= "--", L15=0, L15="--"), "--", (#REF!/L15)*100)</f>
        <v>#REF!</v>
      </c>
      <c r="M176" s="101" t="e">
        <f>IF( OR(#REF!=0,#REF!= "--", M15=0, M15="--"), "--", (#REF!/M15)*100)</f>
        <v>#REF!</v>
      </c>
      <c r="N176" s="102" t="e">
        <f>IF( OR(#REF!=0,#REF!= "--", N15=0, N15="--"), "--", (#REF!/N15)*100)</f>
        <v>#REF!</v>
      </c>
      <c r="O176" s="97" t="e">
        <f>IF( OR(#REF!=0,#REF!= "--", O15=0, O15="--"), "--", (#REF!/O15)*100)</f>
        <v>#REF!</v>
      </c>
      <c r="P176" s="97" t="e">
        <f>IF( OR(#REF!=0,#REF!= "--", P15=0, P15="--"), "--", (#REF!/P15)*100)</f>
        <v>#REF!</v>
      </c>
      <c r="Q176" s="97" t="e">
        <f>IF( OR(#REF!=0,#REF!= "--", Q15=0, Q15="--"), "--", (#REF!/Q15)*100)</f>
        <v>#REF!</v>
      </c>
    </row>
    <row r="177" spans="1:61">
      <c r="A177" s="211" t="s">
        <v>48</v>
      </c>
      <c r="B177" s="241"/>
      <c r="C177" s="210">
        <v>85.838171529359883</v>
      </c>
      <c r="D177" s="210">
        <v>87.86299400291341</v>
      </c>
      <c r="E177" s="210">
        <v>86.600704679466318</v>
      </c>
      <c r="F177" s="210">
        <v>90.440116835373104</v>
      </c>
      <c r="G177" s="210">
        <v>99.998631193280076</v>
      </c>
      <c r="H177" s="210">
        <v>99.980507274963443</v>
      </c>
      <c r="I177" s="217">
        <v>100</v>
      </c>
      <c r="J177" s="111" t="e">
        <f>IF( OR(J18=0, J18="--",#REF!= 0,#REF!= "--"), "--", (J18/#REF!)*100)</f>
        <v>#REF!</v>
      </c>
      <c r="K177" s="101" t="e">
        <f>IF( OR(K18=0, K18="--",#REF!= 0,#REF!= "--"), "--", (K18/#REF!)*100)</f>
        <v>#REF!</v>
      </c>
      <c r="L177" s="101" t="e">
        <f>IF( OR(L18=0, L18="--",#REF!= 0,#REF!= "--"), "--", (L18/#REF!)*100)</f>
        <v>#REF!</v>
      </c>
      <c r="M177" s="101" t="e">
        <f>IF( OR(M18=0, M18="--",#REF!= 0,#REF!= "--"), "--", (M18/#REF!)*100)</f>
        <v>#REF!</v>
      </c>
      <c r="N177" s="102" t="e">
        <f>IF( OR(N18=0, N18="--",#REF!= 0,#REF!= "--"), "--", (N18/#REF!)*100)</f>
        <v>#REF!</v>
      </c>
      <c r="O177" s="97" t="e">
        <f>IF( OR(O18=0, O18="--",#REF!= 0,#REF!= "--"), "--", (O18/#REF!)*100)</f>
        <v>#REF!</v>
      </c>
      <c r="P177" s="97" t="e">
        <f>IF( OR(P18=0, P18="--",#REF!= 0,#REF!= "--"), "--", (P18/#REF!)*100)</f>
        <v>#REF!</v>
      </c>
      <c r="Q177" s="97" t="e">
        <f>IF( OR(Q18=0, Q18="--",#REF!= 0,#REF!= "--"), "--", (Q18/#REF!)*100)</f>
        <v>#REF!</v>
      </c>
    </row>
    <row r="178" spans="1:61">
      <c r="A178" s="211" t="s">
        <v>58</v>
      </c>
      <c r="B178" s="241"/>
      <c r="C178" s="121">
        <v>6.7472560388540623</v>
      </c>
      <c r="D178" s="121">
        <v>6.1347995508883164</v>
      </c>
      <c r="E178" s="121">
        <v>5.4656254232254184</v>
      </c>
      <c r="F178" s="121">
        <v>5.7879063105975268</v>
      </c>
      <c r="G178" s="121">
        <v>4.7229980174122916</v>
      </c>
      <c r="H178" s="121">
        <v>5.304548028859176</v>
      </c>
      <c r="I178" s="200">
        <v>3.7779107473749227</v>
      </c>
      <c r="J178" s="111" t="e">
        <f t="shared" ref="E178:Q178" si="80">IF( OR(J18=0, J18="--", J26=0, J26="--"), "--", J18/J26)</f>
        <v>#REF!</v>
      </c>
      <c r="K178" s="101" t="e">
        <f t="shared" si="80"/>
        <v>#REF!</v>
      </c>
      <c r="L178" s="101" t="e">
        <f t="shared" si="80"/>
        <v>#REF!</v>
      </c>
      <c r="M178" s="101" t="e">
        <f t="shared" si="80"/>
        <v>#REF!</v>
      </c>
      <c r="N178" s="102" t="e">
        <f t="shared" si="80"/>
        <v>#REF!</v>
      </c>
      <c r="O178" s="97" t="e">
        <f t="shared" si="80"/>
        <v>#REF!</v>
      </c>
      <c r="P178" s="97" t="e">
        <f t="shared" si="80"/>
        <v>#REF!</v>
      </c>
      <c r="Q178" s="97" t="e">
        <f t="shared" si="80"/>
        <v>#REF!</v>
      </c>
    </row>
    <row r="179" spans="1:61">
      <c r="A179" s="211" t="s">
        <v>49</v>
      </c>
      <c r="B179" s="241"/>
      <c r="C179" s="210">
        <v>22.991024236483497</v>
      </c>
      <c r="D179" s="210">
        <v>59.696568207206504</v>
      </c>
      <c r="E179" s="210">
        <v>34.878023917341707</v>
      </c>
      <c r="F179" s="210">
        <v>49.515828597837199</v>
      </c>
      <c r="G179" s="210">
        <v>651333.33333333326</v>
      </c>
      <c r="H179" s="210">
        <v>33133.333333333328</v>
      </c>
      <c r="I179" s="218" t="s">
        <v>83</v>
      </c>
      <c r="J179" s="111" t="e">
        <f t="shared" ref="J179:Q179" si="81">IF( OR(J6=0, J6="--", J19=0, J19="--"), "--", (J6/J19)*100)</f>
        <v>#REF!</v>
      </c>
      <c r="K179" s="101" t="e">
        <f t="shared" si="81"/>
        <v>#REF!</v>
      </c>
      <c r="L179" s="101" t="e">
        <f t="shared" si="81"/>
        <v>#REF!</v>
      </c>
      <c r="M179" s="101" t="e">
        <f t="shared" si="81"/>
        <v>#REF!</v>
      </c>
      <c r="N179" s="102" t="e">
        <f t="shared" si="81"/>
        <v>#REF!</v>
      </c>
      <c r="O179" s="97" t="e">
        <f t="shared" si="81"/>
        <v>#REF!</v>
      </c>
      <c r="P179" s="97" t="e">
        <f t="shared" si="81"/>
        <v>#REF!</v>
      </c>
      <c r="Q179" s="97" t="e">
        <f t="shared" si="81"/>
        <v>#REF!</v>
      </c>
    </row>
    <row r="180" spans="1:61" s="40" customFormat="1">
      <c r="A180" s="204" t="s">
        <v>39</v>
      </c>
      <c r="B180" s="240"/>
      <c r="C180" s="118"/>
      <c r="D180" s="118"/>
      <c r="E180" s="118"/>
      <c r="F180" s="118"/>
      <c r="G180" s="118"/>
      <c r="H180" s="118"/>
      <c r="I180" s="119"/>
      <c r="J180" s="198"/>
      <c r="K180" s="118"/>
      <c r="L180" s="118"/>
      <c r="M180" s="118"/>
      <c r="N180" s="119"/>
      <c r="O180" s="120"/>
      <c r="P180" s="120"/>
      <c r="Q180" s="12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</row>
    <row r="181" spans="1:61">
      <c r="A181" s="211" t="s">
        <v>59</v>
      </c>
      <c r="B181" s="241"/>
      <c r="C181" s="209">
        <v>10.058687694092278</v>
      </c>
      <c r="D181" s="209">
        <v>10.926081831958243</v>
      </c>
      <c r="E181" s="209">
        <v>12.380975849905679</v>
      </c>
      <c r="F181" s="209">
        <v>12.350618322977603</v>
      </c>
      <c r="G181" s="209">
        <v>14.573647966429329</v>
      </c>
      <c r="H181" s="209">
        <v>14.591397852321283</v>
      </c>
      <c r="I181" s="216">
        <v>19.12108272097495</v>
      </c>
      <c r="J181" s="111" t="e">
        <f t="shared" ref="J181:Q182" si="82">IF(OR(J130=0, J130="--"),"--",J130)</f>
        <v>#REF!</v>
      </c>
      <c r="K181" s="101" t="e">
        <f t="shared" si="82"/>
        <v>#REF!</v>
      </c>
      <c r="L181" s="101" t="e">
        <f t="shared" si="82"/>
        <v>#REF!</v>
      </c>
      <c r="M181" s="101" t="e">
        <f t="shared" si="82"/>
        <v>#REF!</v>
      </c>
      <c r="N181" s="102" t="e">
        <f t="shared" si="82"/>
        <v>#REF!</v>
      </c>
      <c r="O181" s="97" t="e">
        <f t="shared" si="82"/>
        <v>#REF!</v>
      </c>
      <c r="P181" s="97" t="e">
        <f t="shared" si="82"/>
        <v>#REF!</v>
      </c>
      <c r="Q181" s="97" t="e">
        <f t="shared" si="82"/>
        <v>#REF!</v>
      </c>
    </row>
    <row r="182" spans="1:61">
      <c r="A182" s="212" t="s">
        <v>60</v>
      </c>
      <c r="B182" s="242"/>
      <c r="C182" s="209">
        <v>10.337169088134841</v>
      </c>
      <c r="D182" s="209">
        <v>11.110817116878744</v>
      </c>
      <c r="E182" s="209">
        <v>12.679806143436053</v>
      </c>
      <c r="F182" s="209">
        <v>12.699133862760348</v>
      </c>
      <c r="G182" s="209">
        <v>15.180412208114131</v>
      </c>
      <c r="H182" s="209">
        <v>15.156212248023163</v>
      </c>
      <c r="I182" s="216">
        <v>19.661409796011768</v>
      </c>
      <c r="J182" s="111" t="e">
        <f t="shared" si="82"/>
        <v>#REF!</v>
      </c>
      <c r="K182" s="101" t="e">
        <f t="shared" si="82"/>
        <v>#REF!</v>
      </c>
      <c r="L182" s="101" t="e">
        <f t="shared" si="82"/>
        <v>#REF!</v>
      </c>
      <c r="M182" s="101" t="e">
        <f t="shared" si="82"/>
        <v>#REF!</v>
      </c>
      <c r="N182" s="102" t="e">
        <f t="shared" si="82"/>
        <v>#REF!</v>
      </c>
      <c r="O182" s="97" t="e">
        <f t="shared" si="82"/>
        <v>#REF!</v>
      </c>
      <c r="P182" s="97" t="e">
        <f t="shared" si="82"/>
        <v>#REF!</v>
      </c>
      <c r="Q182" s="97" t="e">
        <f t="shared" si="82"/>
        <v>#REF!</v>
      </c>
    </row>
    <row r="183" spans="1:61">
      <c r="A183" s="212" t="s">
        <v>61</v>
      </c>
      <c r="B183" s="242"/>
      <c r="C183" s="209">
        <v>97.306018778756282</v>
      </c>
      <c r="D183" s="209">
        <v>98.337338442553744</v>
      </c>
      <c r="E183" s="209">
        <v>97.643258184313268</v>
      </c>
      <c r="F183" s="209">
        <v>97.25559598355953</v>
      </c>
      <c r="G183" s="209">
        <v>96.002979145978145</v>
      </c>
      <c r="H183" s="209">
        <v>96.273380271673432</v>
      </c>
      <c r="I183" s="216">
        <v>97.251839615557884</v>
      </c>
      <c r="J183" s="111" t="e">
        <f t="shared" ref="J183:Q183" si="83">IF( OR(J26=0, J26="--", J27=0, J27="--"),"--",(J26/J27)*100)</f>
        <v>#REF!</v>
      </c>
      <c r="K183" s="101" t="e">
        <f t="shared" si="83"/>
        <v>#REF!</v>
      </c>
      <c r="L183" s="101" t="e">
        <f t="shared" si="83"/>
        <v>#REF!</v>
      </c>
      <c r="M183" s="101" t="e">
        <f t="shared" si="83"/>
        <v>#REF!</v>
      </c>
      <c r="N183" s="102" t="e">
        <f t="shared" si="83"/>
        <v>#REF!</v>
      </c>
      <c r="O183" s="97" t="e">
        <f t="shared" si="83"/>
        <v>#REF!</v>
      </c>
      <c r="P183" s="97" t="e">
        <f t="shared" si="83"/>
        <v>#REF!</v>
      </c>
      <c r="Q183" s="97" t="e">
        <f t="shared" si="83"/>
        <v>#REF!</v>
      </c>
    </row>
    <row r="184" spans="1:61" s="40" customFormat="1">
      <c r="A184" s="204" t="s">
        <v>40</v>
      </c>
      <c r="B184" s="240"/>
      <c r="C184" s="118"/>
      <c r="D184" s="118"/>
      <c r="E184" s="118"/>
      <c r="F184" s="118"/>
      <c r="G184" s="118"/>
      <c r="H184" s="118"/>
      <c r="I184" s="119"/>
      <c r="J184" s="198"/>
      <c r="K184" s="118"/>
      <c r="L184" s="118"/>
      <c r="M184" s="118"/>
      <c r="N184" s="119"/>
      <c r="O184" s="120"/>
      <c r="P184" s="120"/>
      <c r="Q184" s="12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</row>
    <row r="185" spans="1:61">
      <c r="A185" s="211" t="s">
        <v>66</v>
      </c>
      <c r="B185" s="241"/>
      <c r="C185" s="209">
        <v>12.913445925062417</v>
      </c>
      <c r="D185" s="209">
        <v>15.033956813898222</v>
      </c>
      <c r="E185" s="209">
        <v>12.913445925062417</v>
      </c>
      <c r="F185" s="209">
        <v>12.815822804860556</v>
      </c>
      <c r="G185" s="209">
        <v>14.540600286924409</v>
      </c>
      <c r="H185" s="209">
        <v>19.199132164087903</v>
      </c>
      <c r="I185" s="223" t="s">
        <v>92</v>
      </c>
      <c r="J185" s="111" t="e">
        <f>IF( OR(#REF!=0,#REF!= "--", J9=0, J9="--"), "--", (#REF!/J9)*100)</f>
        <v>#REF!</v>
      </c>
      <c r="K185" s="101" t="e">
        <f>IF( OR(#REF!=0,#REF!= "--", K9=0, K9="--"), "--", (#REF!/K9)*100)</f>
        <v>#REF!</v>
      </c>
      <c r="L185" s="101" t="e">
        <f>IF( OR(#REF!=0,#REF!= "--", L9=0, L9="--"), "--", (#REF!/L9)*100)</f>
        <v>#REF!</v>
      </c>
      <c r="M185" s="101" t="e">
        <f>IF( OR(#REF!=0,#REF!= "--", M9=0, M9="--"), "--", (#REF!/M9)*100)</f>
        <v>#REF!</v>
      </c>
      <c r="N185" s="102" t="e">
        <f>IF( OR(#REF!=0,#REF!= "--", N9=0, N9="--"), "--", (#REF!/N9)*100)</f>
        <v>#REF!</v>
      </c>
      <c r="O185" s="97" t="e">
        <f>IF( OR(#REF!=0,#REF!= "--", O9=0, O9="--"), "--", (#REF!/O9)*100)</f>
        <v>#REF!</v>
      </c>
      <c r="P185" s="97" t="e">
        <f>IF( OR(#REF!=0,#REF!= "--", P9=0, P9="--"), "--", (#REF!/P9)*100)</f>
        <v>#REF!</v>
      </c>
      <c r="Q185" s="97" t="e">
        <f>IF( OR(#REF!=0,#REF!= "--", Q9=0, Q9="--"), "--", (#REF!/Q9)*100)</f>
        <v>#REF!</v>
      </c>
    </row>
    <row r="186" spans="1:61">
      <c r="A186" s="211" t="s">
        <v>67</v>
      </c>
      <c r="B186" s="241"/>
      <c r="C186" s="209">
        <v>6.8379948132707495</v>
      </c>
      <c r="D186" s="209">
        <v>6.5542284684094083</v>
      </c>
      <c r="E186" s="209">
        <v>6.8379948132707495</v>
      </c>
      <c r="F186" s="209">
        <v>7.2443150521397657</v>
      </c>
      <c r="G186" s="209">
        <v>7.6674056089985356</v>
      </c>
      <c r="H186" s="209">
        <v>9.5595734399197649</v>
      </c>
      <c r="I186" s="223" t="s">
        <v>92</v>
      </c>
      <c r="J186" s="111" t="str">
        <f t="shared" ref="J186:Q186" si="84">IF( OR( J10=0, J10="--", J9=0, J9="--"), "--", -(J10/J9)*100)</f>
        <v>--</v>
      </c>
      <c r="K186" s="101" t="e">
        <f t="shared" si="84"/>
        <v>#REF!</v>
      </c>
      <c r="L186" s="101" t="e">
        <f t="shared" si="84"/>
        <v>#REF!</v>
      </c>
      <c r="M186" s="101" t="e">
        <f t="shared" si="84"/>
        <v>#REF!</v>
      </c>
      <c r="N186" s="102" t="e">
        <f t="shared" si="84"/>
        <v>#REF!</v>
      </c>
      <c r="O186" s="97" t="e">
        <f t="shared" si="84"/>
        <v>#REF!</v>
      </c>
      <c r="P186" s="97" t="e">
        <f t="shared" si="84"/>
        <v>#REF!</v>
      </c>
      <c r="Q186" s="97" t="e">
        <f t="shared" si="84"/>
        <v>#REF!</v>
      </c>
    </row>
    <row r="187" spans="1:61">
      <c r="A187" s="211" t="s">
        <v>68</v>
      </c>
      <c r="B187" s="241"/>
      <c r="C187" s="209">
        <v>52.952518273991977</v>
      </c>
      <c r="D187" s="209">
        <v>43.596164000885764</v>
      </c>
      <c r="E187" s="209">
        <v>52.952518273991977</v>
      </c>
      <c r="F187" s="209">
        <v>56.526335939915398</v>
      </c>
      <c r="G187" s="209">
        <v>52.731011496777249</v>
      </c>
      <c r="H187" s="209">
        <v>49.791695573620807</v>
      </c>
      <c r="I187" s="223" t="s">
        <v>92</v>
      </c>
      <c r="J187" s="199" t="e">
        <f t="shared" ref="J187:Q187" si="85">J186*100/J185</f>
        <v>#VALUE!</v>
      </c>
      <c r="K187" s="122" t="e">
        <f t="shared" si="85"/>
        <v>#REF!</v>
      </c>
      <c r="L187" s="122" t="e">
        <f t="shared" si="85"/>
        <v>#REF!</v>
      </c>
      <c r="M187" s="122" t="e">
        <f t="shared" si="85"/>
        <v>#REF!</v>
      </c>
      <c r="N187" s="123" t="e">
        <f t="shared" si="85"/>
        <v>#REF!</v>
      </c>
      <c r="O187" s="124" t="e">
        <f t="shared" si="85"/>
        <v>#REF!</v>
      </c>
      <c r="P187" s="124" t="e">
        <f t="shared" si="85"/>
        <v>#REF!</v>
      </c>
      <c r="Q187" s="124" t="e">
        <f t="shared" si="85"/>
        <v>#REF!</v>
      </c>
    </row>
    <row r="188" spans="1:61">
      <c r="A188" s="212" t="s">
        <v>69</v>
      </c>
      <c r="B188" s="242"/>
      <c r="C188" s="209">
        <v>44.495091164095371</v>
      </c>
      <c r="D188" s="209">
        <v>42.108183079056865</v>
      </c>
      <c r="E188" s="209">
        <v>12.889673334968787</v>
      </c>
      <c r="F188" s="209">
        <v>46.705427942694691</v>
      </c>
      <c r="G188" s="209">
        <v>-22.087745839636913</v>
      </c>
      <c r="H188" s="209">
        <v>250.61452513966481</v>
      </c>
      <c r="I188" s="223" t="s">
        <v>92</v>
      </c>
      <c r="J188" s="202" t="e">
        <f t="shared" ref="J188:Q188" si="86">IF( OR( J47=0, J47="--", J46=0, J46="--"), "--", -(J47/J46))</f>
        <v>#REF!</v>
      </c>
      <c r="K188" s="201" t="e">
        <f t="shared" si="86"/>
        <v>#REF!</v>
      </c>
      <c r="L188" s="201" t="e">
        <f t="shared" si="86"/>
        <v>#REF!</v>
      </c>
      <c r="M188" s="201" t="e">
        <f t="shared" si="86"/>
        <v>#REF!</v>
      </c>
      <c r="N188" s="201" t="e">
        <f t="shared" si="86"/>
        <v>#REF!</v>
      </c>
      <c r="O188" s="201" t="e">
        <f t="shared" si="86"/>
        <v>#REF!</v>
      </c>
      <c r="P188" s="201" t="e">
        <f t="shared" si="86"/>
        <v>#REF!</v>
      </c>
      <c r="Q188" s="201" t="e">
        <f t="shared" si="86"/>
        <v>#REF!</v>
      </c>
      <c r="R188" s="250"/>
    </row>
    <row r="189" spans="1:61">
      <c r="A189" s="212" t="s">
        <v>70</v>
      </c>
      <c r="B189" s="242"/>
      <c r="C189" s="209">
        <v>0.32497131852823075</v>
      </c>
      <c r="D189" s="209">
        <v>0.41971615243604027</v>
      </c>
      <c r="E189" s="209">
        <v>0.32188053516316101</v>
      </c>
      <c r="F189" s="209">
        <v>2.2704209015357253</v>
      </c>
      <c r="G189" s="209">
        <v>-0.41452602834839875</v>
      </c>
      <c r="H189" s="209">
        <v>5.5618003090522743</v>
      </c>
      <c r="I189" s="223" t="s">
        <v>92</v>
      </c>
      <c r="J189" s="111" t="e">
        <f>IF( OR( J47=0, J47="--", J9=0, J9="--"), "--", -(J47/J9)*12/#REF!*100)</f>
        <v>#REF!</v>
      </c>
      <c r="K189" s="101" t="e">
        <f>IF( OR( K47=0, K47="--", K9=0, K9="--"), "--", -(K47/K9)*12/#REF!*100)</f>
        <v>#REF!</v>
      </c>
      <c r="L189" s="101" t="e">
        <f>IF( OR( L47=0, L47="--", L9=0, L9="--"), "--", -(L47/L9)*12/#REF!*100)</f>
        <v>#REF!</v>
      </c>
      <c r="M189" s="101" t="e">
        <f>IF( OR( M47=0, M47="--", M9=0, M9="--"), "--", -(M47/M9)*12/#REF!*100)</f>
        <v>#REF!</v>
      </c>
      <c r="N189" s="102" t="e">
        <f>IF( OR( N47=0, N47="--", N9=0, N9="--"), "--", -(N47/N9)*12/#REF!*100)</f>
        <v>#REF!</v>
      </c>
      <c r="O189" s="97" t="e">
        <f>IF( OR( O47=0, O47="--", O9=0, O9="--"), "--", -(O47/O9)*12/#REF!*100)</f>
        <v>#REF!</v>
      </c>
      <c r="P189" s="97" t="e">
        <f>IF( OR( P47=0, P47="--", P9=0, P9="--"), "--", -(P47/P9)*12/#REF!*100)</f>
        <v>#REF!</v>
      </c>
      <c r="Q189" s="97" t="e">
        <f>IF( OR( Q47=0, Q47="--", Q9=0, Q9="--"), "--", -(Q47/Q9)*12/#REF!*100)</f>
        <v>#REF!</v>
      </c>
    </row>
    <row r="190" spans="1:61">
      <c r="A190" s="212" t="s">
        <v>71</v>
      </c>
      <c r="B190" s="242"/>
      <c r="C190" s="209">
        <v>0.78157971181303465</v>
      </c>
      <c r="D190" s="209">
        <v>1.0690223708870068</v>
      </c>
      <c r="E190" s="209">
        <v>2.6804886711233178</v>
      </c>
      <c r="F190" s="209">
        <v>5.2408108286577892</v>
      </c>
      <c r="G190" s="209">
        <v>2.0325693406917771</v>
      </c>
      <c r="H190" s="209">
        <v>2.4538417515535214</v>
      </c>
      <c r="I190" s="223" t="s">
        <v>92</v>
      </c>
      <c r="J190" s="111" t="e">
        <f>IF( OR( J46=0, J46="--", J11=0, J11="--"), "--", (J46/J11)*12/#REF!*100)</f>
        <v>#REF!</v>
      </c>
      <c r="K190" s="101" t="e">
        <f>IF( OR( K46=0, K46="--", K11=0, K11="--"), "--", (K46/K11)*12/#REF!*100)</f>
        <v>#REF!</v>
      </c>
      <c r="L190" s="101" t="e">
        <f>IF( OR( L46=0, L46="--", L11=0, L11="--"), "--", (L46/L11)*12/#REF!*100)</f>
        <v>#REF!</v>
      </c>
      <c r="M190" s="101" t="e">
        <f>IF( OR( M46=0, M46="--", M11=0, M11="--"), "--", (M46/M11)*12/#REF!*100)</f>
        <v>#REF!</v>
      </c>
      <c r="N190" s="102" t="e">
        <f>IF( OR( N46=0, N46="--", N11=0, N11="--"), "--", (N46/N11)*12/#REF!*100)</f>
        <v>#REF!</v>
      </c>
      <c r="O190" s="97" t="e">
        <f>IF( OR( O46=0, O46="--", O11=0, O11="--"), "--", (O46/O11)*12/#REF!*100)</f>
        <v>#REF!</v>
      </c>
      <c r="P190" s="97" t="e">
        <f>IF( OR( P46=0, P46="--", P11=0, P11="--"), "--", (P46/P11)*12/#REF!*100)</f>
        <v>#REF!</v>
      </c>
      <c r="Q190" s="97" t="e">
        <f>IF( OR( Q46=0, Q46="--", Q11=0, Q11="--"), "--", (Q46/Q11)*12/#REF!*100)</f>
        <v>#REF!</v>
      </c>
    </row>
    <row r="191" spans="1:61">
      <c r="A191" s="213" t="s">
        <v>72</v>
      </c>
      <c r="B191" s="243"/>
      <c r="C191" s="219">
        <v>12.808644512773293</v>
      </c>
      <c r="D191" s="219">
        <v>13.469681873176286</v>
      </c>
      <c r="E191" s="219">
        <v>15.32626605849739</v>
      </c>
      <c r="F191" s="219">
        <v>15.405436111049015</v>
      </c>
      <c r="G191" s="219">
        <v>17.836487837643954</v>
      </c>
      <c r="H191" s="219">
        <v>18.557349603787721</v>
      </c>
      <c r="I191" s="224" t="s">
        <v>92</v>
      </c>
      <c r="J191" s="203" t="e">
        <f t="shared" ref="J191:Q191" si="87">IF(OR(J26=0,J26="--",J11=0,J11="--"),"--",(J26/J11))</f>
        <v>#REF!</v>
      </c>
      <c r="K191" s="194" t="e">
        <f t="shared" si="87"/>
        <v>#REF!</v>
      </c>
      <c r="L191" s="194" t="e">
        <f t="shared" si="87"/>
        <v>#REF!</v>
      </c>
      <c r="M191" s="194" t="e">
        <f t="shared" si="87"/>
        <v>#REF!</v>
      </c>
      <c r="N191" s="194" t="e">
        <f t="shared" si="87"/>
        <v>#REF!</v>
      </c>
      <c r="O191" s="194" t="e">
        <f t="shared" si="87"/>
        <v>#REF!</v>
      </c>
      <c r="P191" s="194" t="e">
        <f t="shared" si="87"/>
        <v>#REF!</v>
      </c>
      <c r="Q191" s="194" t="e">
        <f t="shared" si="87"/>
        <v>#REF!</v>
      </c>
    </row>
    <row r="192" spans="1:61">
      <c r="A192" s="241"/>
      <c r="B192" s="125"/>
      <c r="C192" s="125"/>
      <c r="D192" s="125"/>
      <c r="E192" s="126"/>
      <c r="F192" s="125"/>
      <c r="G192" s="125"/>
      <c r="H192" s="125"/>
      <c r="I192" s="125"/>
      <c r="J192" s="97"/>
      <c r="K192" s="97"/>
      <c r="L192" s="97"/>
      <c r="M192" s="97"/>
      <c r="N192" s="97"/>
      <c r="O192" s="97"/>
      <c r="P192" s="97"/>
      <c r="Q192" s="97"/>
    </row>
    <row r="193" spans="1:61">
      <c r="A193" s="127" t="s">
        <v>0</v>
      </c>
      <c r="B193" s="129"/>
      <c r="C193" s="129"/>
      <c r="D193" s="129"/>
      <c r="E193" s="128"/>
      <c r="F193" s="129"/>
      <c r="G193" s="129"/>
      <c r="H193" s="129"/>
      <c r="I193" s="220"/>
      <c r="J193" s="130"/>
      <c r="K193" s="130"/>
      <c r="L193" s="130"/>
      <c r="M193" s="130"/>
      <c r="N193" s="131"/>
      <c r="O193" s="97"/>
      <c r="P193" s="97"/>
      <c r="Q193" s="97"/>
    </row>
    <row r="194" spans="1:61">
      <c r="A194" s="132" t="s">
        <v>50</v>
      </c>
      <c r="B194" s="134"/>
      <c r="C194" s="134"/>
      <c r="D194" s="134"/>
      <c r="E194" s="133"/>
      <c r="F194" s="134"/>
      <c r="G194" s="134"/>
      <c r="H194" s="134"/>
      <c r="I194" s="221"/>
      <c r="J194" s="135"/>
      <c r="K194" s="135"/>
      <c r="L194" s="135"/>
      <c r="M194" s="135"/>
      <c r="N194" s="136"/>
      <c r="O194" s="97"/>
      <c r="P194" s="97"/>
      <c r="Q194" s="97"/>
    </row>
    <row r="195" spans="1:61">
      <c r="A195" s="132" t="s">
        <v>51</v>
      </c>
      <c r="B195" s="134"/>
      <c r="C195" s="134"/>
      <c r="D195" s="134"/>
      <c r="E195" s="133"/>
      <c r="F195" s="134"/>
      <c r="G195" s="134"/>
      <c r="H195" s="134"/>
      <c r="I195" s="221"/>
      <c r="J195" s="135"/>
      <c r="K195" s="135"/>
      <c r="L195" s="135"/>
      <c r="M195" s="135"/>
      <c r="N195" s="136"/>
      <c r="O195" s="97"/>
      <c r="P195" s="97"/>
      <c r="Q195" s="97"/>
    </row>
    <row r="196" spans="1:61">
      <c r="A196" s="132" t="s">
        <v>52</v>
      </c>
      <c r="B196" s="134"/>
      <c r="C196" s="134"/>
      <c r="D196" s="134"/>
      <c r="E196" s="133"/>
      <c r="F196" s="134"/>
      <c r="G196" s="134"/>
      <c r="H196" s="134"/>
      <c r="I196" s="221"/>
      <c r="J196" s="135"/>
      <c r="K196" s="135"/>
      <c r="L196" s="135"/>
      <c r="M196" s="135"/>
      <c r="N196" s="136"/>
      <c r="O196" s="97"/>
      <c r="P196" s="97"/>
      <c r="Q196" s="97"/>
    </row>
    <row r="197" spans="1:61">
      <c r="A197" s="132" t="s">
        <v>78</v>
      </c>
      <c r="B197" s="134"/>
      <c r="C197" s="134"/>
      <c r="D197" s="134"/>
      <c r="E197" s="133"/>
      <c r="F197" s="134"/>
      <c r="G197" s="134"/>
      <c r="H197" s="134"/>
      <c r="I197" s="221"/>
      <c r="J197" s="135"/>
      <c r="K197" s="135"/>
      <c r="L197" s="135"/>
      <c r="M197" s="135"/>
      <c r="N197" s="136"/>
      <c r="O197" s="97"/>
      <c r="P197" s="97"/>
      <c r="Q197" s="97"/>
    </row>
    <row r="198" spans="1:61">
      <c r="A198" s="132" t="s">
        <v>53</v>
      </c>
      <c r="B198" s="134"/>
      <c r="C198" s="134"/>
      <c r="D198" s="134"/>
      <c r="E198" s="133"/>
      <c r="F198" s="134"/>
      <c r="G198" s="134"/>
      <c r="H198" s="134"/>
      <c r="I198" s="221"/>
      <c r="J198" s="135"/>
      <c r="K198" s="135"/>
      <c r="L198" s="135"/>
      <c r="M198" s="135"/>
      <c r="N198" s="136"/>
      <c r="O198" s="97"/>
      <c r="P198" s="97"/>
      <c r="Q198" s="97"/>
    </row>
    <row r="199" spans="1:61">
      <c r="A199" s="132" t="s">
        <v>79</v>
      </c>
      <c r="B199" s="134"/>
      <c r="C199" s="134"/>
      <c r="D199" s="134"/>
      <c r="E199" s="133"/>
      <c r="F199" s="134"/>
      <c r="G199" s="134"/>
      <c r="H199" s="134"/>
      <c r="I199" s="221"/>
      <c r="J199" s="135"/>
      <c r="K199" s="135"/>
      <c r="L199" s="135"/>
      <c r="M199" s="135"/>
      <c r="N199" s="136"/>
      <c r="O199" s="97"/>
      <c r="P199" s="97"/>
      <c r="Q199" s="97"/>
    </row>
    <row r="200" spans="1:61">
      <c r="A200" s="137" t="s">
        <v>63</v>
      </c>
      <c r="B200" s="139"/>
      <c r="C200" s="139"/>
      <c r="D200" s="139"/>
      <c r="E200" s="138"/>
      <c r="F200" s="139"/>
      <c r="G200" s="139"/>
      <c r="H200" s="139"/>
      <c r="I200" s="222"/>
      <c r="J200" s="140"/>
      <c r="K200" s="140"/>
      <c r="L200" s="140"/>
      <c r="M200" s="140"/>
      <c r="N200" s="141"/>
      <c r="O200" s="97"/>
      <c r="P200" s="97"/>
      <c r="Q200" s="97"/>
    </row>
    <row r="201" spans="1:61">
      <c r="A201" s="9"/>
      <c r="B201" s="9"/>
      <c r="C201" s="9"/>
      <c r="D201" s="9"/>
      <c r="E201" s="6"/>
      <c r="F201" s="9"/>
      <c r="G201" s="9"/>
      <c r="H201" s="9"/>
      <c r="I201" s="9"/>
      <c r="J201" s="97"/>
      <c r="K201" s="97"/>
      <c r="L201" s="97"/>
      <c r="M201" s="97"/>
      <c r="N201" s="97"/>
      <c r="O201" s="97"/>
      <c r="P201" s="97"/>
      <c r="Q201" s="97"/>
    </row>
    <row r="202" spans="1:61">
      <c r="A202" s="142"/>
      <c r="B202" s="142"/>
      <c r="C202" s="142"/>
      <c r="D202" s="142"/>
      <c r="E202" s="143"/>
      <c r="F202" s="142"/>
      <c r="G202" s="142"/>
      <c r="H202" s="142"/>
      <c r="I202" s="142"/>
      <c r="J202" s="144"/>
      <c r="K202" s="144"/>
      <c r="L202" s="144"/>
      <c r="M202" s="144"/>
      <c r="N202" s="144"/>
      <c r="O202" s="144"/>
      <c r="P202" s="144"/>
      <c r="Q202" s="144"/>
    </row>
    <row r="203" spans="1:61" s="8" customFormat="1">
      <c r="E203" s="145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</row>
    <row r="204" spans="1:61" s="8" customFormat="1">
      <c r="E204" s="145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</row>
    <row r="205" spans="1:61" s="8" customFormat="1">
      <c r="E205" s="145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</row>
    <row r="206" spans="1:61" s="8" customFormat="1">
      <c r="E206" s="145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</row>
    <row r="207" spans="1:61" s="8" customFormat="1">
      <c r="E207" s="145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</row>
    <row r="208" spans="1:61" s="8" customFormat="1">
      <c r="E208" s="145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</row>
    <row r="209" spans="5:61" s="8" customFormat="1">
      <c r="E209" s="145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</row>
    <row r="237" spans="1:15">
      <c r="A237" s="147"/>
      <c r="B237" s="147"/>
      <c r="C237" s="147"/>
      <c r="D237" s="147"/>
      <c r="E237" s="148"/>
      <c r="F237" s="147"/>
      <c r="G237" s="147"/>
      <c r="H237" s="147"/>
      <c r="I237" s="147"/>
      <c r="J237" s="149"/>
      <c r="K237" s="149"/>
      <c r="L237" s="149"/>
      <c r="M237" s="149"/>
      <c r="N237" s="149"/>
      <c r="O237" s="150"/>
    </row>
    <row r="238" spans="1:15">
      <c r="A238" s="147"/>
      <c r="B238" s="147"/>
      <c r="C238" s="147"/>
      <c r="D238" s="147"/>
      <c r="E238" s="148"/>
      <c r="F238" s="147"/>
      <c r="G238" s="147"/>
      <c r="H238" s="147"/>
      <c r="I238" s="147"/>
      <c r="J238" s="151"/>
      <c r="K238" s="151"/>
      <c r="L238" s="151"/>
      <c r="M238" s="151"/>
      <c r="N238" s="151"/>
      <c r="O238" s="150"/>
    </row>
    <row r="239" spans="1:15">
      <c r="A239" s="152"/>
      <c r="B239" s="152"/>
      <c r="C239" s="152"/>
      <c r="D239" s="152"/>
      <c r="E239" s="153"/>
      <c r="F239" s="152"/>
      <c r="G239" s="152"/>
      <c r="H239" s="152"/>
      <c r="I239" s="152"/>
      <c r="J239" s="151"/>
      <c r="K239" s="151"/>
      <c r="L239" s="151"/>
      <c r="M239" s="151"/>
      <c r="N239" s="151"/>
      <c r="O239" s="150"/>
    </row>
    <row r="240" spans="1:15">
      <c r="A240" s="147"/>
      <c r="B240" s="147"/>
      <c r="C240" s="147"/>
      <c r="D240" s="147"/>
      <c r="E240" s="148"/>
      <c r="F240" s="147"/>
      <c r="G240" s="147"/>
      <c r="H240" s="147"/>
      <c r="I240" s="147"/>
      <c r="J240" s="154"/>
      <c r="K240" s="154"/>
      <c r="L240" s="154"/>
      <c r="M240" s="154"/>
      <c r="N240" s="154"/>
      <c r="O240" s="150"/>
    </row>
    <row r="241" spans="1:15">
      <c r="A241" s="147"/>
      <c r="B241" s="147"/>
      <c r="C241" s="147"/>
      <c r="D241" s="147"/>
      <c r="E241" s="148"/>
      <c r="F241" s="147"/>
      <c r="G241" s="147"/>
      <c r="H241" s="147"/>
      <c r="I241" s="147"/>
      <c r="J241" s="154"/>
      <c r="K241" s="154"/>
      <c r="L241" s="154"/>
      <c r="M241" s="154"/>
      <c r="N241" s="154"/>
      <c r="O241" s="150"/>
    </row>
    <row r="242" spans="1:15">
      <c r="A242" s="147"/>
      <c r="B242" s="147"/>
      <c r="C242" s="147"/>
      <c r="D242" s="147"/>
      <c r="E242" s="148"/>
      <c r="F242" s="147"/>
      <c r="G242" s="147"/>
      <c r="H242" s="147"/>
      <c r="I242" s="147"/>
      <c r="J242" s="151"/>
      <c r="K242" s="151"/>
      <c r="L242" s="151"/>
      <c r="M242" s="151"/>
      <c r="N242" s="151"/>
      <c r="O242" s="150"/>
    </row>
    <row r="243" spans="1:15">
      <c r="A243" s="152"/>
      <c r="B243" s="152"/>
      <c r="C243" s="152"/>
      <c r="D243" s="152"/>
      <c r="E243" s="153"/>
      <c r="F243" s="152"/>
      <c r="G243" s="152"/>
      <c r="H243" s="152"/>
      <c r="I243" s="152"/>
      <c r="J243" s="151"/>
      <c r="K243" s="151"/>
      <c r="L243" s="151"/>
      <c r="M243" s="151"/>
      <c r="N243" s="151"/>
      <c r="O243" s="150"/>
    </row>
    <row r="244" spans="1:15">
      <c r="A244" s="147"/>
      <c r="B244" s="147"/>
      <c r="C244" s="147"/>
      <c r="D244" s="147"/>
      <c r="E244" s="148"/>
      <c r="F244" s="147"/>
      <c r="G244" s="147"/>
      <c r="H244" s="147"/>
      <c r="I244" s="147"/>
      <c r="J244" s="154"/>
      <c r="K244" s="154"/>
      <c r="L244" s="154"/>
      <c r="M244" s="154"/>
      <c r="N244" s="154"/>
      <c r="O244" s="150"/>
    </row>
    <row r="245" spans="1:15">
      <c r="A245" s="147"/>
      <c r="B245" s="147"/>
      <c r="C245" s="147"/>
      <c r="D245" s="147"/>
      <c r="E245" s="148"/>
      <c r="F245" s="147"/>
      <c r="G245" s="147"/>
      <c r="H245" s="147"/>
      <c r="I245" s="147"/>
      <c r="J245" s="151"/>
      <c r="K245" s="151"/>
      <c r="L245" s="151"/>
      <c r="M245" s="151"/>
      <c r="N245" s="151"/>
      <c r="O245" s="150"/>
    </row>
    <row r="246" spans="1:15">
      <c r="A246" s="152"/>
      <c r="B246" s="152"/>
      <c r="C246" s="152"/>
      <c r="D246" s="152"/>
      <c r="E246" s="153"/>
      <c r="F246" s="152"/>
      <c r="G246" s="152"/>
      <c r="H246" s="152"/>
      <c r="I246" s="152"/>
      <c r="J246" s="151"/>
      <c r="K246" s="151"/>
      <c r="L246" s="151"/>
      <c r="M246" s="151"/>
      <c r="N246" s="151"/>
      <c r="O246" s="150"/>
    </row>
    <row r="247" spans="1:15">
      <c r="A247" s="147"/>
      <c r="B247" s="147"/>
      <c r="C247" s="147"/>
      <c r="D247" s="147"/>
      <c r="E247" s="148"/>
      <c r="F247" s="147"/>
      <c r="G247" s="147"/>
      <c r="H247" s="147"/>
      <c r="I247" s="147"/>
      <c r="J247" s="154"/>
      <c r="K247" s="154"/>
      <c r="L247" s="154"/>
      <c r="M247" s="154"/>
      <c r="N247" s="154"/>
      <c r="O247" s="150"/>
    </row>
    <row r="248" spans="1:15">
      <c r="A248" s="147"/>
      <c r="B248" s="147"/>
      <c r="C248" s="147"/>
      <c r="D248" s="147"/>
      <c r="E248" s="148"/>
      <c r="F248" s="147"/>
      <c r="G248" s="147"/>
      <c r="H248" s="147"/>
      <c r="I248" s="147"/>
      <c r="J248" s="154"/>
      <c r="K248" s="154"/>
      <c r="L248" s="154"/>
      <c r="M248" s="154"/>
      <c r="N248" s="154"/>
      <c r="O248" s="150"/>
    </row>
  </sheetData>
  <phoneticPr fontId="0" type="noConversion"/>
  <printOptions horizontalCentered="1" gridLines="1"/>
  <pageMargins left="0.25" right="0.25" top="0.75" bottom="0.75" header="0.3" footer="0.3"/>
  <pageSetup paperSize="9" scale="71" fitToHeight="0" orientation="portrait" r:id="rId1"/>
  <headerFooter>
    <oddFooter>Page &amp;P</oddFooter>
  </headerFooter>
  <rowBreaks count="3" manualBreakCount="3">
    <brk id="54" max="16383" man="1"/>
    <brk id="131" max="16383" man="1"/>
    <brk id="156" max="16383" man="1"/>
  </rowBreaks>
  <ignoredErrors>
    <ignoredError sqref="K26:O26" formulaRange="1"/>
    <ignoredError sqref="K52:O5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8" r:id="rId4" name="LBL_UPDATED_GRAPHS">
              <controlPr defaultSize="0" autoFill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1485900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Synthèse états financiers</vt:lpstr>
      <vt:lpstr>'Synthèse états financiers'!inside</vt:lpstr>
      <vt:lpstr>inside</vt:lpstr>
      <vt:lpstr>'Synthèse états financiers'!Zone_d_impression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Charnay, Nicolas</dc:creator>
  <cp:lastModifiedBy>Anouar Hassoune</cp:lastModifiedBy>
  <cp:lastPrinted>2019-10-30T11:41:41Z</cp:lastPrinted>
  <dcterms:created xsi:type="dcterms:W3CDTF">2001-07-26T06:40:57Z</dcterms:created>
  <dcterms:modified xsi:type="dcterms:W3CDTF">2022-01-13T13:22:30Z</dcterms:modified>
</cp:coreProperties>
</file>